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chmondregional.sharepoint.com/sites/CentralVirginiaTransportationAuthority/Shared Documents/Planning/Prioritization/Round 3/Allocations/"/>
    </mc:Choice>
  </mc:AlternateContent>
  <xr:revisionPtr revIDLastSave="1" documentId="8_{9CA54A99-E1A3-4C67-90E3-6CBB60132EDE}" xr6:coauthVersionLast="47" xr6:coauthVersionMax="47" xr10:uidLastSave="{D4111001-FAA2-4161-96D8-BAD53286BB0D}"/>
  <bookViews>
    <workbookView xWindow="28680" yWindow="-120" windowWidth="38640" windowHeight="21120" xr2:uid="{158FC54F-1B2C-45C5-B78A-AC155132B01D}"/>
  </bookViews>
  <sheets>
    <sheet name="Allocations" sheetId="1" r:id="rId1"/>
  </sheets>
  <externalReferences>
    <externalReference r:id="rId2"/>
  </externalReferences>
  <definedNames>
    <definedName name="_xlnm.Print_Area" localSheetId="0">Allocations!$A$1:$AE$74</definedName>
    <definedName name="_xlnm.Print_Titles" localSheetId="0">Allocations!$1:$2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5" i="1" l="1"/>
  <c r="V75" i="1"/>
  <c r="W73" i="1"/>
  <c r="V73" i="1"/>
  <c r="U71" i="1"/>
  <c r="W70" i="1"/>
  <c r="W72" i="1" s="1"/>
  <c r="V70" i="1"/>
  <c r="V72" i="1" s="1"/>
  <c r="S70" i="1"/>
  <c r="S72" i="1" s="1"/>
  <c r="R70" i="1"/>
  <c r="R72" i="1" s="1"/>
  <c r="Q70" i="1"/>
  <c r="Q72" i="1" s="1"/>
  <c r="AB69" i="1"/>
  <c r="U69" i="1"/>
  <c r="AA67" i="1"/>
  <c r="AA70" i="1" s="1"/>
  <c r="Z67" i="1"/>
  <c r="Z70" i="1" s="1"/>
  <c r="Y67" i="1"/>
  <c r="Y70" i="1" s="1"/>
  <c r="W67" i="1"/>
  <c r="V67" i="1"/>
  <c r="S67" i="1"/>
  <c r="R67" i="1"/>
  <c r="Q67" i="1"/>
  <c r="P67" i="1"/>
  <c r="O67" i="1"/>
  <c r="U66" i="1"/>
  <c r="AC66" i="1" s="1"/>
  <c r="N66" i="1"/>
  <c r="L66" i="1"/>
  <c r="K66" i="1"/>
  <c r="J66" i="1"/>
  <c r="M66" i="1" s="1"/>
  <c r="AD66" i="1" s="1"/>
  <c r="U65" i="1"/>
  <c r="AC65" i="1" s="1"/>
  <c r="N65" i="1"/>
  <c r="L65" i="1"/>
  <c r="K65" i="1"/>
  <c r="J65" i="1"/>
  <c r="M65" i="1" s="1"/>
  <c r="AC64" i="1"/>
  <c r="U64" i="1"/>
  <c r="N64" i="1"/>
  <c r="L64" i="1"/>
  <c r="K64" i="1"/>
  <c r="J64" i="1"/>
  <c r="M64" i="1" s="1"/>
  <c r="U63" i="1"/>
  <c r="AC63" i="1" s="1"/>
  <c r="N63" i="1"/>
  <c r="J63" i="1"/>
  <c r="M63" i="1" s="1"/>
  <c r="U62" i="1"/>
  <c r="AC62" i="1" s="1"/>
  <c r="N62" i="1"/>
  <c r="L62" i="1"/>
  <c r="K62" i="1"/>
  <c r="J62" i="1"/>
  <c r="U61" i="1"/>
  <c r="AC61" i="1" s="1"/>
  <c r="N61" i="1"/>
  <c r="L61" i="1"/>
  <c r="K61" i="1"/>
  <c r="J61" i="1"/>
  <c r="M61" i="1" s="1"/>
  <c r="U60" i="1"/>
  <c r="AC60" i="1" s="1"/>
  <c r="N60" i="1"/>
  <c r="M60" i="1"/>
  <c r="U59" i="1"/>
  <c r="AC59" i="1" s="1"/>
  <c r="N59" i="1"/>
  <c r="L59" i="1"/>
  <c r="K59" i="1"/>
  <c r="J59" i="1"/>
  <c r="M59" i="1" s="1"/>
  <c r="U58" i="1"/>
  <c r="AC58" i="1" s="1"/>
  <c r="L58" i="1"/>
  <c r="K58" i="1"/>
  <c r="J58" i="1"/>
  <c r="M58" i="1" s="1"/>
  <c r="U57" i="1"/>
  <c r="AC57" i="1" s="1"/>
  <c r="N57" i="1"/>
  <c r="L57" i="1"/>
  <c r="K57" i="1"/>
  <c r="J57" i="1"/>
  <c r="U56" i="1"/>
  <c r="N56" i="1"/>
  <c r="L56" i="1"/>
  <c r="K56" i="1"/>
  <c r="J56" i="1"/>
  <c r="X56" i="1" s="1"/>
  <c r="N55" i="1"/>
  <c r="L55" i="1"/>
  <c r="K55" i="1"/>
  <c r="J55" i="1"/>
  <c r="U54" i="1"/>
  <c r="AC54" i="1" s="1"/>
  <c r="N54" i="1"/>
  <c r="L54" i="1"/>
  <c r="K54" i="1"/>
  <c r="J54" i="1"/>
  <c r="M54" i="1" s="1"/>
  <c r="U53" i="1"/>
  <c r="AC53" i="1" s="1"/>
  <c r="N53" i="1"/>
  <c r="L53" i="1"/>
  <c r="K53" i="1"/>
  <c r="J53" i="1"/>
  <c r="M53" i="1" s="1"/>
  <c r="U52" i="1"/>
  <c r="AC52" i="1" s="1"/>
  <c r="N52" i="1"/>
  <c r="L52" i="1"/>
  <c r="K52" i="1"/>
  <c r="J52" i="1"/>
  <c r="M52" i="1" s="1"/>
  <c r="AD52" i="1" s="1"/>
  <c r="U51" i="1"/>
  <c r="AC51" i="1" s="1"/>
  <c r="N51" i="1"/>
  <c r="L51" i="1"/>
  <c r="K51" i="1"/>
  <c r="J51" i="1"/>
  <c r="M51" i="1" s="1"/>
  <c r="AD51" i="1" s="1"/>
  <c r="U50" i="1"/>
  <c r="AC50" i="1" s="1"/>
  <c r="N50" i="1"/>
  <c r="L50" i="1"/>
  <c r="K50" i="1"/>
  <c r="J50" i="1"/>
  <c r="U49" i="1"/>
  <c r="AC49" i="1" s="1"/>
  <c r="N49" i="1"/>
  <c r="L49" i="1"/>
  <c r="K49" i="1"/>
  <c r="J49" i="1"/>
  <c r="M49" i="1" s="1"/>
  <c r="U48" i="1"/>
  <c r="AC48" i="1" s="1"/>
  <c r="N48" i="1"/>
  <c r="M48" i="1"/>
  <c r="L48" i="1"/>
  <c r="K48" i="1"/>
  <c r="J48" i="1"/>
  <c r="U47" i="1"/>
  <c r="AC47" i="1" s="1"/>
  <c r="N47" i="1"/>
  <c r="U46" i="1"/>
  <c r="AC46" i="1" s="1"/>
  <c r="N46" i="1"/>
  <c r="U45" i="1"/>
  <c r="AC45" i="1" s="1"/>
  <c r="N45" i="1"/>
  <c r="U44" i="1"/>
  <c r="AC44" i="1" s="1"/>
  <c r="N44" i="1"/>
  <c r="U43" i="1"/>
  <c r="AC43" i="1" s="1"/>
  <c r="AD43" i="1" s="1"/>
  <c r="N43" i="1"/>
  <c r="U42" i="1"/>
  <c r="AC42" i="1" s="1"/>
  <c r="N42" i="1"/>
  <c r="U41" i="1"/>
  <c r="AC41" i="1" s="1"/>
  <c r="N41" i="1"/>
  <c r="U40" i="1"/>
  <c r="AC40" i="1" s="1"/>
  <c r="N40" i="1"/>
  <c r="U39" i="1"/>
  <c r="AC39" i="1" s="1"/>
  <c r="N39" i="1"/>
  <c r="U38" i="1"/>
  <c r="AC38" i="1" s="1"/>
  <c r="N38" i="1"/>
  <c r="U37" i="1"/>
  <c r="AC37" i="1" s="1"/>
  <c r="N37" i="1"/>
  <c r="U36" i="1"/>
  <c r="AC36" i="1" s="1"/>
  <c r="N36" i="1"/>
  <c r="U35" i="1"/>
  <c r="AC35" i="1" s="1"/>
  <c r="N35" i="1"/>
  <c r="U34" i="1"/>
  <c r="AC34" i="1" s="1"/>
  <c r="N34" i="1"/>
  <c r="U33" i="1"/>
  <c r="AC33" i="1" s="1"/>
  <c r="N33" i="1"/>
  <c r="U32" i="1"/>
  <c r="AC32" i="1" s="1"/>
  <c r="N32" i="1"/>
  <c r="U31" i="1"/>
  <c r="AC31" i="1" s="1"/>
  <c r="AD31" i="1" s="1"/>
  <c r="N31" i="1"/>
  <c r="U30" i="1"/>
  <c r="AC30" i="1" s="1"/>
  <c r="N30" i="1"/>
  <c r="U29" i="1"/>
  <c r="AC29" i="1" s="1"/>
  <c r="N29" i="1"/>
  <c r="U28" i="1"/>
  <c r="AC28" i="1" s="1"/>
  <c r="N28" i="1"/>
  <c r="U27" i="1"/>
  <c r="AC27" i="1" s="1"/>
  <c r="N27" i="1"/>
  <c r="U26" i="1"/>
  <c r="AC26" i="1" s="1"/>
  <c r="N26" i="1"/>
  <c r="U25" i="1"/>
  <c r="AC25" i="1" s="1"/>
  <c r="N25" i="1"/>
  <c r="U24" i="1"/>
  <c r="AC24" i="1" s="1"/>
  <c r="AD24" i="1" s="1"/>
  <c r="N24" i="1"/>
  <c r="U23" i="1"/>
  <c r="AC23" i="1" s="1"/>
  <c r="N23" i="1"/>
  <c r="U22" i="1"/>
  <c r="AC22" i="1" s="1"/>
  <c r="N22" i="1"/>
  <c r="U21" i="1"/>
  <c r="AC21" i="1" s="1"/>
  <c r="N21" i="1"/>
  <c r="U20" i="1"/>
  <c r="AC20" i="1" s="1"/>
  <c r="N20" i="1"/>
  <c r="U19" i="1"/>
  <c r="AC19" i="1" s="1"/>
  <c r="AD19" i="1" s="1"/>
  <c r="N19" i="1"/>
  <c r="U18" i="1"/>
  <c r="AC18" i="1" s="1"/>
  <c r="N18" i="1"/>
  <c r="U17" i="1"/>
  <c r="AC17" i="1" s="1"/>
  <c r="N17" i="1"/>
  <c r="U16" i="1"/>
  <c r="AC16" i="1" s="1"/>
  <c r="N16" i="1"/>
  <c r="U15" i="1"/>
  <c r="AC15" i="1" s="1"/>
  <c r="N15" i="1"/>
  <c r="U14" i="1"/>
  <c r="AC14" i="1" s="1"/>
  <c r="N14" i="1"/>
  <c r="U13" i="1"/>
  <c r="AC13" i="1" s="1"/>
  <c r="N13" i="1"/>
  <c r="U12" i="1"/>
  <c r="AC12" i="1" s="1"/>
  <c r="AD12" i="1" s="1"/>
  <c r="N12" i="1"/>
  <c r="U11" i="1"/>
  <c r="AC11" i="1" s="1"/>
  <c r="N11" i="1"/>
  <c r="U10" i="1"/>
  <c r="AC10" i="1" s="1"/>
  <c r="N10" i="1"/>
  <c r="U9" i="1"/>
  <c r="AC9" i="1" s="1"/>
  <c r="N9" i="1"/>
  <c r="U8" i="1"/>
  <c r="AC8" i="1" s="1"/>
  <c r="N8" i="1"/>
  <c r="U7" i="1"/>
  <c r="AC7" i="1" s="1"/>
  <c r="AD7" i="1" s="1"/>
  <c r="N7" i="1"/>
  <c r="U6" i="1"/>
  <c r="AC6" i="1" s="1"/>
  <c r="N6" i="1"/>
  <c r="AB5" i="1"/>
  <c r="AB67" i="1" s="1"/>
  <c r="AB70" i="1" s="1"/>
  <c r="X5" i="1"/>
  <c r="U5" i="1"/>
  <c r="AC5" i="1" s="1"/>
  <c r="N5" i="1"/>
  <c r="U4" i="1"/>
  <c r="AC4" i="1" s="1"/>
  <c r="N4" i="1"/>
  <c r="U3" i="1"/>
  <c r="AC3" i="1" s="1"/>
  <c r="N3" i="1"/>
  <c r="AD53" i="1" l="1"/>
  <c r="AD65" i="1"/>
  <c r="AD49" i="1"/>
  <c r="AD58" i="1"/>
  <c r="AD61" i="1"/>
  <c r="M56" i="1"/>
  <c r="AD64" i="1"/>
  <c r="AC56" i="1"/>
  <c r="AD59" i="1"/>
  <c r="M50" i="1"/>
  <c r="AD50" i="1" s="1"/>
  <c r="M57" i="1"/>
  <c r="AD57" i="1" s="1"/>
  <c r="M62" i="1"/>
  <c r="AD62" i="1" s="1"/>
  <c r="AC69" i="1"/>
  <c r="X67" i="1"/>
  <c r="X70" i="1" s="1"/>
  <c r="AD46" i="1"/>
  <c r="AD10" i="1"/>
  <c r="AD22" i="1"/>
  <c r="AD34" i="1"/>
  <c r="AD60" i="1"/>
  <c r="AD11" i="1"/>
  <c r="AD30" i="1"/>
  <c r="AD17" i="1"/>
  <c r="AB71" i="1"/>
  <c r="AD9" i="1"/>
  <c r="AD13" i="1"/>
  <c r="AD18" i="1"/>
  <c r="AD32" i="1"/>
  <c r="AD23" i="1"/>
  <c r="AD28" i="1"/>
  <c r="AD37" i="1"/>
  <c r="AD42" i="1"/>
  <c r="AD47" i="1"/>
  <c r="AD3" i="1"/>
  <c r="AD39" i="1"/>
  <c r="AD48" i="1"/>
  <c r="AD16" i="1"/>
  <c r="AD21" i="1"/>
  <c r="AD25" i="1"/>
  <c r="AD35" i="1"/>
  <c r="AD40" i="1"/>
  <c r="AD4" i="1"/>
  <c r="AD36" i="1"/>
  <c r="AD15" i="1"/>
  <c r="AD6" i="1"/>
  <c r="AD20" i="1"/>
  <c r="AD29" i="1"/>
  <c r="AD63" i="1"/>
  <c r="AD44" i="1"/>
  <c r="T55" i="1"/>
  <c r="M55" i="1"/>
  <c r="AD45" i="1"/>
  <c r="Y71" i="1"/>
  <c r="AD26" i="1"/>
  <c r="Z71" i="1"/>
  <c r="AD8" i="1"/>
  <c r="AA71" i="1"/>
  <c r="X71" i="1"/>
  <c r="AD27" i="1"/>
  <c r="AD41" i="1"/>
  <c r="N67" i="1"/>
  <c r="AD5" i="1"/>
  <c r="AD14" i="1"/>
  <c r="AD33" i="1"/>
  <c r="AD54" i="1"/>
  <c r="AD38" i="1"/>
  <c r="AD56" i="1" l="1"/>
  <c r="M67" i="1"/>
  <c r="AA75" i="1"/>
  <c r="AA73" i="1"/>
  <c r="AA72" i="1"/>
  <c r="T67" i="1"/>
  <c r="T70" i="1" s="1"/>
  <c r="U55" i="1"/>
  <c r="Z75" i="1"/>
  <c r="Z73" i="1"/>
  <c r="AC71" i="1"/>
  <c r="AB75" i="1"/>
  <c r="AB73" i="1"/>
  <c r="AB72" i="1"/>
  <c r="Z72" i="1"/>
  <c r="Y75" i="1"/>
  <c r="Y73" i="1"/>
  <c r="Y72" i="1"/>
  <c r="X73" i="1"/>
  <c r="X75" i="1"/>
  <c r="X72" i="1"/>
  <c r="AC75" i="1" l="1"/>
  <c r="AC55" i="1"/>
  <c r="U67" i="1"/>
  <c r="AC67" i="1" s="1"/>
  <c r="T72" i="1"/>
  <c r="U72" i="1" s="1"/>
  <c r="AC72" i="1" s="1"/>
  <c r="U70" i="1"/>
  <c r="AC70" i="1" s="1"/>
  <c r="AD55" i="1" l="1"/>
</calcChain>
</file>

<file path=xl/sharedStrings.xml><?xml version="1.0" encoding="utf-8"?>
<sst xmlns="http://schemas.openxmlformats.org/spreadsheetml/2006/main" count="437" uniqueCount="194">
  <si>
    <t>PROJECTS</t>
  </si>
  <si>
    <t>ID</t>
  </si>
  <si>
    <t>Title</t>
  </si>
  <si>
    <t>Admin</t>
  </si>
  <si>
    <t>UPC</t>
  </si>
  <si>
    <t>SS Rd 6 ID</t>
  </si>
  <si>
    <t>PE Start</t>
  </si>
  <si>
    <t>RW Start</t>
  </si>
  <si>
    <t>CN Start</t>
  </si>
  <si>
    <t>CN End</t>
  </si>
  <si>
    <t>PE Est</t>
  </si>
  <si>
    <t>RW Est</t>
  </si>
  <si>
    <t>CN Est</t>
  </si>
  <si>
    <t>TOTAL Est</t>
  </si>
  <si>
    <t>Other Funds</t>
  </si>
  <si>
    <t>SYIP Funds</t>
  </si>
  <si>
    <t>Non-SYIP Funds</t>
  </si>
  <si>
    <t>FY21</t>
  </si>
  <si>
    <t>FY22</t>
  </si>
  <si>
    <t>FY23</t>
  </si>
  <si>
    <t>FY24</t>
  </si>
  <si>
    <t>Previous</t>
  </si>
  <si>
    <t>FY25</t>
  </si>
  <si>
    <t>FY26</t>
  </si>
  <si>
    <t>FY27</t>
  </si>
  <si>
    <t>FY28</t>
  </si>
  <si>
    <t>FY29</t>
  </si>
  <si>
    <t>FY30</t>
  </si>
  <si>
    <t>FY31</t>
  </si>
  <si>
    <t>Total CVTA</t>
  </si>
  <si>
    <t>Balance to Complete</t>
  </si>
  <si>
    <t>Notes</t>
  </si>
  <si>
    <t>CVTA-0001</t>
  </si>
  <si>
    <t>#FLT - DB 2 - Chesterfield, Petersburg, Colonial Heights (Segments 1A - 2B)</t>
  </si>
  <si>
    <t>VDOT</t>
  </si>
  <si>
    <t>121511</t>
  </si>
  <si>
    <t>Moved $25M from DB3 to DB2 per CVTA Action (Sept 2023)</t>
  </si>
  <si>
    <t>CVTA-0002</t>
  </si>
  <si>
    <t>#FLT - DB 1 - Ashland, Hanover, Henrico (Segments 7.C2 - 7.C4)</t>
  </si>
  <si>
    <t>121374, 119599</t>
  </si>
  <si>
    <t>CVTA-0003</t>
  </si>
  <si>
    <t>C Commerce Road - FLT Phase II</t>
  </si>
  <si>
    <t>Local</t>
  </si>
  <si>
    <t>FY32</t>
  </si>
  <si>
    <t>Project start moved to FY26 start to match SSR6; total leverage inflated based on schedule adjustment</t>
  </si>
  <si>
    <t>CVTA-0004</t>
  </si>
  <si>
    <t>#FLT - C Commerce Road - Phase I</t>
  </si>
  <si>
    <t>118946</t>
  </si>
  <si>
    <t>CVTA-0005</t>
  </si>
  <si>
    <t>#FLT - DB3? - Chesterfield (Segments 2C - 3A)</t>
  </si>
  <si>
    <t>CVTA-0006</t>
  </si>
  <si>
    <t>#FLT - Manchester Bridge (Segment 4E-R)</t>
  </si>
  <si>
    <t>CVTA-0007</t>
  </si>
  <si>
    <t>#FLT - Bryan Park (Segment 6B)</t>
  </si>
  <si>
    <t>CVTA-0008</t>
  </si>
  <si>
    <t>#FLT - Park St (Segment 6C)</t>
  </si>
  <si>
    <t>117047</t>
  </si>
  <si>
    <t>CVTA-0009</t>
  </si>
  <si>
    <t>#FLT - Lakeside Community Trail Ph 1 (Segment 6D.1)</t>
  </si>
  <si>
    <t>118065</t>
  </si>
  <si>
    <t>CVTA-0010</t>
  </si>
  <si>
    <t>#FLT - Lakeside Community Trail Ph 2 (Segment 6D.2)</t>
  </si>
  <si>
    <t>118091</t>
  </si>
  <si>
    <t>CVTA-0011</t>
  </si>
  <si>
    <t>#FLT - Lakeside Community Trail Ph 3 (Segment 6D.3)</t>
  </si>
  <si>
    <t>CVTA-0012</t>
  </si>
  <si>
    <t>#FLT - Brook/Hilliard Road Diet (Segment 6E)</t>
  </si>
  <si>
    <t>118153</t>
  </si>
  <si>
    <t>CVTA-0013</t>
  </si>
  <si>
    <t>#FLT - Villa Park Phase (Segment 6G)</t>
  </si>
  <si>
    <t>CVTA-0014</t>
  </si>
  <si>
    <t>#FLT - Longdale Trail (Segments 7A - 7C.1)</t>
  </si>
  <si>
    <t>CVTA-0015</t>
  </si>
  <si>
    <t>Capital Trail Crossings</t>
  </si>
  <si>
    <t>Project funded with non-CVTA funds; allocations removed</t>
  </si>
  <si>
    <t>CVTA-0016</t>
  </si>
  <si>
    <t>I-64 at Ashland Rd (Rte 623) Interchange - DDI</t>
  </si>
  <si>
    <t>123919</t>
  </si>
  <si>
    <t>CVTA-0017</t>
  </si>
  <si>
    <t xml:space="preserve">I-64 at Oilville Rd (Rte 617) Interchange </t>
  </si>
  <si>
    <t>123290</t>
  </si>
  <si>
    <t>CVTA-0018</t>
  </si>
  <si>
    <t>Bottoms Bridge Park and Ride</t>
  </si>
  <si>
    <t>120444</t>
  </si>
  <si>
    <t>CVTA-0019</t>
  </si>
  <si>
    <t>Stavemill Rd Turn Lane</t>
  </si>
  <si>
    <t>CVTA-0020</t>
  </si>
  <si>
    <t>Rte 288 NB Hard Shouder Running</t>
  </si>
  <si>
    <t>122147</t>
  </si>
  <si>
    <t>CVTA-0021</t>
  </si>
  <si>
    <t>GreenCity Connector Trail and Bridge</t>
  </si>
  <si>
    <t>CVTA-0022</t>
  </si>
  <si>
    <t>F Manchester Connection to James River</t>
  </si>
  <si>
    <t>CVTA-0023</t>
  </si>
  <si>
    <t>Mayo Bridge Replacement</t>
  </si>
  <si>
    <t>104888</t>
  </si>
  <si>
    <t>FY18</t>
  </si>
  <si>
    <t>CVTA-0024</t>
  </si>
  <si>
    <t>POV Richmond Marine Terminal Access Improvements at I-95/Bells Road</t>
  </si>
  <si>
    <t>CVTA-0025</t>
  </si>
  <si>
    <t>RT 288 NB Flyover to Bailey Bridge Connector - PE ONLY</t>
  </si>
  <si>
    <t>CVTA-0026</t>
  </si>
  <si>
    <t>N. Gayton Road Interchange at I-64</t>
  </si>
  <si>
    <t>CVTA-0027</t>
  </si>
  <si>
    <t>Chippenham Parkway/RT 60 Interchange Improvements</t>
  </si>
  <si>
    <t>CVTA-0028</t>
  </si>
  <si>
    <t>Rt. 301 3rd Southbound Lane</t>
  </si>
  <si>
    <t>CVTA-0029</t>
  </si>
  <si>
    <t>W Broad Street Intersection Improvements at Parham Road</t>
  </si>
  <si>
    <t>FY33</t>
  </si>
  <si>
    <t>FY34</t>
  </si>
  <si>
    <t>CVTA-0030</t>
  </si>
  <si>
    <t>Rt. 1/Rt. 30 Green-T</t>
  </si>
  <si>
    <t>CVTA-0031</t>
  </si>
  <si>
    <t>A Hull Street Phase II (US360)</t>
  </si>
  <si>
    <t>121391</t>
  </si>
  <si>
    <t>CVTA-0032</t>
  </si>
  <si>
    <t>Rt. 301/Rt. 54 Roundabout</t>
  </si>
  <si>
    <t>CVTA-0033</t>
  </si>
  <si>
    <t>W Broad Street Improvements - Short Pump</t>
  </si>
  <si>
    <t>CVTA-0034</t>
  </si>
  <si>
    <t>I-95/Route 10 Interchange Improvement, Phase II</t>
  </si>
  <si>
    <t>Project start moved to FY26 start to match SSR6; total leverage inflated based on schedule adjustment; SPA committed funds left in FY23</t>
  </si>
  <si>
    <t>CVTA-0035</t>
  </si>
  <si>
    <t>Magellan Parkway Bridge and Approach Section</t>
  </si>
  <si>
    <t>CVTA-0036</t>
  </si>
  <si>
    <t xml:space="preserve">G Broad Street Streetscape (US250) with Pulse Expansion 
Phase III </t>
  </si>
  <si>
    <t>CVTA-0037</t>
  </si>
  <si>
    <t>Brook Road Improvements - Villa Park Dr to Hilliard Rd</t>
  </si>
  <si>
    <t>CVTA-0038</t>
  </si>
  <si>
    <t>Woolridge Road (Route 288 - Old Hundred Road) Extension</t>
  </si>
  <si>
    <t>112974</t>
  </si>
  <si>
    <t>FY19</t>
  </si>
  <si>
    <t>CVTA-0039</t>
  </si>
  <si>
    <t>Staples Mill Road Improvements</t>
  </si>
  <si>
    <t>CVTA-0040</t>
  </si>
  <si>
    <t>Woodman Road Improvements - Mountain Rd to Hungary Rd</t>
  </si>
  <si>
    <t>CVTA-0041</t>
  </si>
  <si>
    <t>Route 288 Southbound Hard Shoulder Running Lane</t>
  </si>
  <si>
    <t>CVTA-0042</t>
  </si>
  <si>
    <t>Route 360 (Woodlake Village Pkwy - Otterdale Rd) Widening</t>
  </si>
  <si>
    <t>CVTA-0043</t>
  </si>
  <si>
    <t>Vaughan Road Overpass</t>
  </si>
  <si>
    <t>CVTA-0044</t>
  </si>
  <si>
    <t>B Forest Hill Avenue Phase II</t>
  </si>
  <si>
    <t>CVTA-0045</t>
  </si>
  <si>
    <t>I-64 Widening</t>
  </si>
  <si>
    <t>CVTA-0046</t>
  </si>
  <si>
    <t>D Hull Street Shared Use Path</t>
  </si>
  <si>
    <t>CVTA-0047</t>
  </si>
  <si>
    <t>E Richmond Highway Fall Line Trail Improvements</t>
  </si>
  <si>
    <t>CVTA-0048</t>
  </si>
  <si>
    <t>Busy Street Extension</t>
  </si>
  <si>
    <t>CVTA-0049</t>
  </si>
  <si>
    <t>Route 288 Southbound Auxiliary Lane</t>
  </si>
  <si>
    <t>CVTA-0050</t>
  </si>
  <si>
    <t>F Port of Virginia Gateway Interchange and Streetscape Improvements</t>
  </si>
  <si>
    <t>CVTA-0051</t>
  </si>
  <si>
    <t>Route 250 at Route 288 Interchange Improvements</t>
  </si>
  <si>
    <t>CVTA-0052</t>
  </si>
  <si>
    <t>Route 60/33/Beulah Roundabout</t>
  </si>
  <si>
    <t>CVTA-0053</t>
  </si>
  <si>
    <t>Route 60 (Village of Midlothian) Corridor Enhancements</t>
  </si>
  <si>
    <t>CVTA-0054</t>
  </si>
  <si>
    <t>I-64 Exit 211 Interchange Improvement Project</t>
  </si>
  <si>
    <t>CVTA-0055</t>
  </si>
  <si>
    <t>Powhite Parkway Extended, Phase I</t>
  </si>
  <si>
    <t>CVTA-0056</t>
  </si>
  <si>
    <t>Rt. 360/Walnut Grove Rd Intersection Improvement</t>
  </si>
  <si>
    <t>CVTA-0057</t>
  </si>
  <si>
    <t>Short Pump Area Improvements</t>
  </si>
  <si>
    <t>CVTA-0058</t>
  </si>
  <si>
    <t>Rt. 5/New Osborne Turnpike Improvements</t>
  </si>
  <si>
    <t>CVTA-0059</t>
  </si>
  <si>
    <t>Rt. 1 and Ashcake Intersection</t>
  </si>
  <si>
    <t>CVTA-0060</t>
  </si>
  <si>
    <t>US 60/VA13 Intersection Improvement</t>
  </si>
  <si>
    <t>CVTA-0061</t>
  </si>
  <si>
    <t>Atlee Rd/Meadowbridge Rd Intersection Improvement</t>
  </si>
  <si>
    <t>CVTA-0062</t>
  </si>
  <si>
    <t>North South BRT</t>
  </si>
  <si>
    <t>CVTA-0063</t>
  </si>
  <si>
    <t>Pulse Extension West (GRTC)</t>
  </si>
  <si>
    <t>CVTA-0064</t>
  </si>
  <si>
    <t>Downtown Transit Hub</t>
  </si>
  <si>
    <t>SUBTOTAL</t>
  </si>
  <si>
    <t>PROJECTED &amp; ACTUAL REVENUE</t>
  </si>
  <si>
    <t>PROJECT ALLOCATIONS</t>
  </si>
  <si>
    <t>BALANCE ENTRY</t>
  </si>
  <si>
    <t>REMAINING FUNDS</t>
  </si>
  <si>
    <t>Actual</t>
  </si>
  <si>
    <t>Target</t>
  </si>
  <si>
    <t>Off-Cycle Funds</t>
  </si>
  <si>
    <t>MAB - Updated Projected Revenues based on 7/10 Finance Packet; adjusted balance entry to avoid impacts to project allocations; % in BE calculated below (in line with where it should be for FY26-FY31 allocation plan based on BE targets)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</si>
</sst>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7" x14ac:knownFonts="1">
    <font>
      <sz val="10"/>
      <color theme="1"/>
      <name val="Lato"/>
      <family val="2"/>
    </font>
    <font>
      <sz val="10"/>
      <color theme="1"/>
      <name val="Lato"/>
      <family val="2"/>
    </font>
    <font>
      <sz val="10"/>
      <name val="Montserrat"/>
    </font>
    <font>
      <b/>
      <sz val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6" fontId="2" fillId="0" borderId="1" xfId="0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4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0" fillId="0" borderId="0" xfId="0" applyNumberFormat="1"/>
    <xf numFmtId="10" fontId="0" fillId="0" borderId="0" xfId="0" applyNumberFormat="1"/>
    <xf numFmtId="0" fontId="0" fillId="2" borderId="0" xfId="0" applyFill="1"/>
    <xf numFmtId="0" fontId="6" fillId="2" borderId="0" xfId="0" applyFont="1" applyFill="1" applyAlignment="1">
      <alignment vertical="center"/>
    </xf>
    <xf numFmtId="165" fontId="0" fillId="0" borderId="0" xfId="0" applyNumberFormat="1"/>
    <xf numFmtId="0" fontId="0" fillId="3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ichmondregional.sharepoint.com/sites/CentralVirginiaTransportationAuthority/Shared%20Documents/Planning/Prioritization/Round%203/Allocations/Final%20-%202.23.2024.xlsx" TargetMode="External"/><Relationship Id="rId1" Type="http://schemas.openxmlformats.org/officeDocument/2006/relationships/externalLinkPath" Target="Final%20-%202.2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ions"/>
      <sheetName val="Estimates"/>
      <sheetName val="Inflation"/>
      <sheetName val="Summary"/>
      <sheetName val="Summary + SS6 Results"/>
    </sheetNames>
    <sheetDataSet>
      <sheetData sheetId="0"/>
      <sheetData sheetId="1">
        <row r="1">
          <cell r="A1" t="str">
            <v>Project Title</v>
          </cell>
          <cell r="B1" t="str">
            <v>PE</v>
          </cell>
          <cell r="C1" t="str">
            <v>RW</v>
          </cell>
          <cell r="D1" t="str">
            <v>CN</v>
          </cell>
        </row>
        <row r="2">
          <cell r="A2" t="str">
            <v>Rt. 1 and Ashcake Intersection</v>
          </cell>
          <cell r="B2">
            <v>890520</v>
          </cell>
          <cell r="C2">
            <v>740400</v>
          </cell>
          <cell r="D2">
            <v>3014401</v>
          </cell>
        </row>
        <row r="3">
          <cell r="A3" t="str">
            <v>Route 60 (Village of Midlothian) Corridor Enhancements</v>
          </cell>
          <cell r="B3">
            <v>3300435</v>
          </cell>
          <cell r="C3">
            <v>3016410</v>
          </cell>
          <cell r="D3">
            <v>27152479</v>
          </cell>
        </row>
        <row r="4">
          <cell r="A4" t="str">
            <v>RT 288 Southbound C-D Road with Genito Ramp</v>
          </cell>
          <cell r="B4">
            <v>5430000</v>
          </cell>
          <cell r="C4">
            <v>1950000</v>
          </cell>
          <cell r="D4">
            <v>47960550</v>
          </cell>
        </row>
        <row r="5">
          <cell r="A5" t="str">
            <v>Route 360 (Woodlake Village Pkwy - Otterdale Rd) Widening</v>
          </cell>
          <cell r="B5">
            <v>3167954</v>
          </cell>
          <cell r="C5">
            <v>6452681</v>
          </cell>
          <cell r="D5">
            <v>19958499</v>
          </cell>
        </row>
        <row r="6">
          <cell r="A6" t="str">
            <v>Bellwood Connector - PE Only</v>
          </cell>
          <cell r="B6">
            <v>3000000</v>
          </cell>
          <cell r="C6">
            <v>0</v>
          </cell>
          <cell r="D6">
            <v>0</v>
          </cell>
        </row>
        <row r="7">
          <cell r="A7" t="str">
            <v>Busy Street Extension</v>
          </cell>
          <cell r="B7">
            <v>1305750</v>
          </cell>
          <cell r="C7">
            <v>2039613</v>
          </cell>
          <cell r="D7">
            <v>8667466</v>
          </cell>
        </row>
        <row r="8">
          <cell r="A8" t="str">
            <v>FLT: Route 1 Fill-in-the-Gaps</v>
          </cell>
          <cell r="B8">
            <v>5345300</v>
          </cell>
          <cell r="C8">
            <v>1712300</v>
          </cell>
          <cell r="D8">
            <v>17318929</v>
          </cell>
        </row>
        <row r="9">
          <cell r="A9" t="str">
            <v>Huguenot Road (Cranbeck Rd - Robious Rd) Congestion and Safety Improvement</v>
          </cell>
          <cell r="B9">
            <v>2061000</v>
          </cell>
          <cell r="C9">
            <v>964131</v>
          </cell>
          <cell r="D9">
            <v>10900398.300000001</v>
          </cell>
        </row>
        <row r="10">
          <cell r="A10" t="str">
            <v>Powhite Parkway Extended, Phase I</v>
          </cell>
          <cell r="B10">
            <v>16840248</v>
          </cell>
          <cell r="C10">
            <v>17035808</v>
          </cell>
          <cell r="D10">
            <v>165777423</v>
          </cell>
        </row>
        <row r="11">
          <cell r="A11" t="str">
            <v>Fairground Rd/Maidens Rd Intersection Improvements</v>
          </cell>
          <cell r="B11">
            <v>987705</v>
          </cell>
          <cell r="C11">
            <v>2379375</v>
          </cell>
          <cell r="D11">
            <v>3318623</v>
          </cell>
        </row>
        <row r="12">
          <cell r="A12" t="str">
            <v>Route 288 Southbound Auxiliary Lane</v>
          </cell>
          <cell r="B12">
            <v>2350615</v>
          </cell>
          <cell r="C12">
            <v>1603785</v>
          </cell>
          <cell r="D12">
            <v>13288638</v>
          </cell>
        </row>
        <row r="13">
          <cell r="A13" t="str">
            <v>Route 250 at Route 288 Interchange Improvements</v>
          </cell>
          <cell r="B13">
            <v>2610742.5</v>
          </cell>
          <cell r="C13">
            <v>2192364</v>
          </cell>
          <cell r="D13">
            <v>18222561</v>
          </cell>
        </row>
        <row r="14">
          <cell r="A14" t="str">
            <v>Route 288 Southbound Hard Shoulder Running Lane</v>
          </cell>
          <cell r="B14">
            <v>5395950</v>
          </cell>
          <cell r="C14">
            <v>481207</v>
          </cell>
          <cell r="D14">
            <v>39974951.719999999</v>
          </cell>
        </row>
        <row r="15">
          <cell r="A15" t="str">
            <v>Rt. 360/Walnut Grove Rd Intersection Improvement - Alternatives</v>
          </cell>
          <cell r="B15">
            <v>186000</v>
          </cell>
          <cell r="C15">
            <v>0</v>
          </cell>
          <cell r="D15">
            <v>0</v>
          </cell>
        </row>
        <row r="16">
          <cell r="A16" t="str">
            <v>Rt. 360/Walnut Grove Rd Intersection Improvement - 60%</v>
          </cell>
          <cell r="B16">
            <v>715000</v>
          </cell>
          <cell r="C16">
            <v>0</v>
          </cell>
          <cell r="D16">
            <v>0</v>
          </cell>
        </row>
        <row r="17">
          <cell r="A17" t="str">
            <v>Rt. 360/Walnut Grove Rd Intersection Improvement</v>
          </cell>
          <cell r="B17">
            <v>1066000</v>
          </cell>
          <cell r="C17">
            <v>1695000</v>
          </cell>
          <cell r="D17">
            <v>7779150</v>
          </cell>
        </row>
        <row r="18">
          <cell r="A18" t="str">
            <v>Atlee Rd/Meadowbridge Rd Intersection Improvement</v>
          </cell>
          <cell r="B18">
            <v>715000</v>
          </cell>
          <cell r="C18">
            <v>0</v>
          </cell>
          <cell r="D18">
            <v>0</v>
          </cell>
        </row>
        <row r="19">
          <cell r="A19" t="str">
            <v>Short Pump Area Improvements</v>
          </cell>
          <cell r="B19">
            <v>24983000</v>
          </cell>
          <cell r="C19">
            <v>6573840</v>
          </cell>
          <cell r="D19">
            <v>243083496</v>
          </cell>
        </row>
        <row r="20">
          <cell r="A20" t="str">
            <v>Rt. 5/New Osborne Turnpike Improvements</v>
          </cell>
          <cell r="B20">
            <v>12480500</v>
          </cell>
          <cell r="C20">
            <v>16383000</v>
          </cell>
          <cell r="D20">
            <v>147858600</v>
          </cell>
        </row>
        <row r="21">
          <cell r="A21" t="str">
            <v>Pulse Extension West (GRTC)</v>
          </cell>
          <cell r="B21">
            <v>4578140</v>
          </cell>
          <cell r="C21">
            <v>9060000</v>
          </cell>
          <cell r="D21">
            <v>45781400</v>
          </cell>
        </row>
        <row r="22">
          <cell r="A22" t="str">
            <v>I-95 and Parham Rd Interchange</v>
          </cell>
          <cell r="B22">
            <v>4875000</v>
          </cell>
          <cell r="C22">
            <v>0</v>
          </cell>
          <cell r="D22">
            <v>0</v>
          </cell>
        </row>
        <row r="23">
          <cell r="A23" t="str">
            <v>E. Parham Road and Woodman Road Intersection Improvements</v>
          </cell>
          <cell r="B23">
            <v>860000</v>
          </cell>
          <cell r="C23">
            <v>1496000</v>
          </cell>
          <cell r="D23">
            <v>12466968</v>
          </cell>
        </row>
        <row r="24">
          <cell r="A24" t="str">
            <v>E. Parham Road Improvements</v>
          </cell>
          <cell r="B24">
            <v>1548450</v>
          </cell>
          <cell r="C24">
            <v>2747118</v>
          </cell>
          <cell r="D24">
            <v>7560186</v>
          </cell>
        </row>
        <row r="25">
          <cell r="A25" t="str">
            <v>Parham Road Improvements Holly Hill to Three Chopt Rd</v>
          </cell>
          <cell r="B25">
            <v>1391850</v>
          </cell>
          <cell r="C25">
            <v>2546854</v>
          </cell>
          <cell r="D25">
            <v>6142852</v>
          </cell>
        </row>
        <row r="26">
          <cell r="A26" t="str">
            <v>Route 60/33/Beulah Roundabout</v>
          </cell>
          <cell r="B26">
            <v>1400490</v>
          </cell>
          <cell r="C26">
            <v>3246991</v>
          </cell>
          <cell r="D26">
            <v>6822506</v>
          </cell>
        </row>
        <row r="27">
          <cell r="A27" t="str">
            <v>I-64 Exit 211 Interchange Improvement Project</v>
          </cell>
          <cell r="B27">
            <v>6724821.6500000004</v>
          </cell>
          <cell r="C27">
            <v>1866000</v>
          </cell>
          <cell r="D27">
            <v>77767144.700000003</v>
          </cell>
        </row>
        <row r="28">
          <cell r="A28" t="str">
            <v>US 60/VA13 Intersection Improvement</v>
          </cell>
          <cell r="B28">
            <v>1429884</v>
          </cell>
          <cell r="C28">
            <v>4589392.08</v>
          </cell>
          <cell r="D28">
            <v>7217797.8799999999</v>
          </cell>
        </row>
        <row r="29">
          <cell r="A29" t="str">
            <v>US 60 and Dorset Road Intersection Improvement</v>
          </cell>
          <cell r="B29">
            <v>373261</v>
          </cell>
          <cell r="C29">
            <v>5344295.32</v>
          </cell>
          <cell r="D29">
            <v>7014006.3200000003</v>
          </cell>
        </row>
        <row r="30">
          <cell r="A30" t="str">
            <v>North South BRT</v>
          </cell>
          <cell r="B30">
            <v>13265640</v>
          </cell>
          <cell r="C30">
            <v>1705000</v>
          </cell>
          <cell r="D30">
            <v>99982782</v>
          </cell>
        </row>
        <row r="31">
          <cell r="A31" t="str">
            <v>Downtown Transit Hub</v>
          </cell>
          <cell r="B31">
            <v>2700000</v>
          </cell>
          <cell r="C31">
            <v>2700000</v>
          </cell>
          <cell r="D31">
            <v>27000000</v>
          </cell>
        </row>
        <row r="32">
          <cell r="A32" t="str">
            <v>C Commerce Road - FLT Phase II</v>
          </cell>
          <cell r="B32">
            <v>5112720</v>
          </cell>
          <cell r="C32">
            <v>4315500</v>
          </cell>
          <cell r="D32">
            <v>48514539</v>
          </cell>
        </row>
        <row r="33">
          <cell r="A33" t="str">
            <v>D Hull Street Shared Use Path</v>
          </cell>
          <cell r="B33">
            <v>1378901</v>
          </cell>
          <cell r="C33">
            <v>654543</v>
          </cell>
          <cell r="D33">
            <v>6663378</v>
          </cell>
        </row>
        <row r="34">
          <cell r="A34" t="str">
            <v>E Richmond Highway Fall Line Trail Improvements</v>
          </cell>
          <cell r="B34">
            <v>3223800</v>
          </cell>
          <cell r="C34">
            <v>1885500</v>
          </cell>
          <cell r="D34">
            <v>29562298</v>
          </cell>
        </row>
        <row r="35">
          <cell r="A35" t="str">
            <v>F Port of Virginia Gateway Interchange and Streetscape Improvements</v>
          </cell>
          <cell r="B35">
            <v>2076840</v>
          </cell>
          <cell r="C35">
            <v>5230500</v>
          </cell>
          <cell r="D35">
            <v>11193291</v>
          </cell>
        </row>
        <row r="36">
          <cell r="A36" t="str">
            <v>A Hull Street Phase II (US360)</v>
          </cell>
          <cell r="B36">
            <v>918460</v>
          </cell>
          <cell r="C36">
            <v>2570603</v>
          </cell>
          <cell r="D36">
            <v>17294229</v>
          </cell>
        </row>
        <row r="37">
          <cell r="A37" t="str">
            <v>B Forest Hill Avenue Phase II</v>
          </cell>
          <cell r="B37">
            <v>3404160</v>
          </cell>
          <cell r="C37">
            <v>7982350</v>
          </cell>
          <cell r="D37">
            <v>22724382</v>
          </cell>
        </row>
      </sheetData>
      <sheetData sheetId="2">
        <row r="1">
          <cell r="A1" t="str">
            <v>Fiscal Year</v>
          </cell>
          <cell r="C1" t="str">
            <v>Cost Index</v>
          </cell>
        </row>
        <row r="2">
          <cell r="A2">
            <v>2004</v>
          </cell>
          <cell r="C2">
            <v>32.54</v>
          </cell>
        </row>
        <row r="3">
          <cell r="A3">
            <v>2005</v>
          </cell>
          <cell r="C3">
            <v>36.32</v>
          </cell>
        </row>
        <row r="4">
          <cell r="A4">
            <v>2006</v>
          </cell>
          <cell r="C4">
            <v>43.56</v>
          </cell>
        </row>
        <row r="5">
          <cell r="A5">
            <v>2007</v>
          </cell>
          <cell r="C5">
            <v>51.38</v>
          </cell>
        </row>
        <row r="6">
          <cell r="A6">
            <v>2008</v>
          </cell>
          <cell r="C6">
            <v>48.87</v>
          </cell>
        </row>
        <row r="7">
          <cell r="A7">
            <v>2009</v>
          </cell>
          <cell r="C7">
            <v>56.72</v>
          </cell>
        </row>
        <row r="8">
          <cell r="A8">
            <v>2010</v>
          </cell>
          <cell r="C8">
            <v>45.41</v>
          </cell>
        </row>
        <row r="9">
          <cell r="A9">
            <v>2011</v>
          </cell>
          <cell r="C9">
            <v>45.98</v>
          </cell>
        </row>
        <row r="10">
          <cell r="A10">
            <v>2012</v>
          </cell>
          <cell r="C10">
            <v>48.94</v>
          </cell>
        </row>
        <row r="11">
          <cell r="A11">
            <v>2013</v>
          </cell>
          <cell r="C11">
            <v>50.72</v>
          </cell>
        </row>
        <row r="12">
          <cell r="A12">
            <v>2014</v>
          </cell>
          <cell r="C12">
            <v>52.28</v>
          </cell>
        </row>
        <row r="13">
          <cell r="A13">
            <v>2015</v>
          </cell>
          <cell r="C13">
            <v>55.11</v>
          </cell>
        </row>
        <row r="14">
          <cell r="A14">
            <v>2016</v>
          </cell>
          <cell r="C14">
            <v>54.22</v>
          </cell>
        </row>
        <row r="15">
          <cell r="A15">
            <v>2017</v>
          </cell>
          <cell r="C15">
            <v>53.39</v>
          </cell>
        </row>
        <row r="16">
          <cell r="A16">
            <v>2018</v>
          </cell>
          <cell r="C16">
            <v>55.11</v>
          </cell>
        </row>
        <row r="17">
          <cell r="A17">
            <v>2019</v>
          </cell>
          <cell r="C17">
            <v>58.64</v>
          </cell>
        </row>
        <row r="18">
          <cell r="A18">
            <v>2020</v>
          </cell>
          <cell r="C18">
            <v>62.68</v>
          </cell>
        </row>
        <row r="19">
          <cell r="A19">
            <v>2021</v>
          </cell>
          <cell r="C19">
            <v>60.07</v>
          </cell>
        </row>
        <row r="20">
          <cell r="A20">
            <v>2022</v>
          </cell>
          <cell r="C20">
            <v>67</v>
          </cell>
        </row>
        <row r="21">
          <cell r="A21">
            <v>2023</v>
          </cell>
          <cell r="C21">
            <v>88.46</v>
          </cell>
        </row>
        <row r="22">
          <cell r="A22">
            <v>2024</v>
          </cell>
          <cell r="C22">
            <v>100</v>
          </cell>
        </row>
        <row r="23">
          <cell r="A23">
            <v>2025</v>
          </cell>
          <cell r="C23">
            <v>105</v>
          </cell>
        </row>
        <row r="24">
          <cell r="A24">
            <v>2026</v>
          </cell>
          <cell r="C24">
            <v>110.25</v>
          </cell>
        </row>
        <row r="25">
          <cell r="A25">
            <v>2027</v>
          </cell>
          <cell r="C25">
            <v>115.76</v>
          </cell>
        </row>
        <row r="26">
          <cell r="A26">
            <v>2028</v>
          </cell>
          <cell r="C26">
            <v>121.55</v>
          </cell>
        </row>
        <row r="27">
          <cell r="A27">
            <v>2029</v>
          </cell>
          <cell r="C27">
            <v>127.63</v>
          </cell>
        </row>
        <row r="28">
          <cell r="A28">
            <v>2030</v>
          </cell>
          <cell r="C28">
            <v>134.01</v>
          </cell>
        </row>
        <row r="29">
          <cell r="A29">
            <v>2031</v>
          </cell>
          <cell r="C29">
            <v>138.03</v>
          </cell>
        </row>
        <row r="30">
          <cell r="A30">
            <v>2032</v>
          </cell>
          <cell r="C30">
            <v>142.16999999999999</v>
          </cell>
        </row>
        <row r="31">
          <cell r="A31">
            <v>2033</v>
          </cell>
          <cell r="C31">
            <v>146.44</v>
          </cell>
        </row>
        <row r="32">
          <cell r="A32">
            <v>2034</v>
          </cell>
          <cell r="C32">
            <v>150.83000000000001</v>
          </cell>
        </row>
        <row r="33">
          <cell r="A33">
            <v>2035</v>
          </cell>
          <cell r="C33">
            <v>155.35</v>
          </cell>
        </row>
        <row r="34">
          <cell r="A34">
            <v>2036</v>
          </cell>
          <cell r="C34">
            <v>160.01</v>
          </cell>
        </row>
        <row r="35">
          <cell r="A35">
            <v>2037</v>
          </cell>
          <cell r="C35">
            <v>164.81</v>
          </cell>
        </row>
        <row r="36">
          <cell r="A36">
            <v>2038</v>
          </cell>
          <cell r="C36">
            <v>169.75</v>
          </cell>
        </row>
        <row r="37">
          <cell r="A37">
            <v>2039</v>
          </cell>
          <cell r="C37">
            <v>174.84</v>
          </cell>
        </row>
        <row r="38">
          <cell r="A38">
            <v>2040</v>
          </cell>
          <cell r="C38">
            <v>180.09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1CC9-A458-4EE1-AE1D-439E122951EE}">
  <sheetPr>
    <pageSetUpPr fitToPage="1"/>
  </sheetPr>
  <dimension ref="A1:AE77"/>
  <sheetViews>
    <sheetView tabSelected="1" view="pageBreakPreview" zoomScale="80" zoomScaleNormal="50" zoomScaleSheetLayoutView="80" workbookViewId="0">
      <pane xSplit="4" ySplit="2" topLeftCell="M3" activePane="bottomRight" state="frozen"/>
      <selection pane="topRight" activeCell="E1" sqref="E1"/>
      <selection pane="bottomLeft" activeCell="A3" sqref="A3"/>
      <selection pane="bottomRight" activeCell="AI7" sqref="AI7"/>
    </sheetView>
  </sheetViews>
  <sheetFormatPr defaultRowHeight="15.5" outlineLevelCol="1" x14ac:dyDescent="0.45"/>
  <cols>
    <col min="1" max="1" width="10.75" bestFit="1" customWidth="1"/>
    <col min="2" max="2" width="58.33203125" bestFit="1" customWidth="1"/>
    <col min="3" max="3" width="8.75" customWidth="1"/>
    <col min="4" max="4" width="11.33203125" bestFit="1" customWidth="1"/>
    <col min="5" max="5" width="11.08203125" hidden="1" customWidth="1" outlineLevel="1"/>
    <col min="6" max="6" width="9.25" hidden="1" customWidth="1" outlineLevel="1"/>
    <col min="7" max="7" width="9.83203125" hidden="1" customWidth="1" outlineLevel="1"/>
    <col min="8" max="8" width="9.58203125" hidden="1" customWidth="1" outlineLevel="1"/>
    <col min="9" max="9" width="8.5" hidden="1" customWidth="1" outlineLevel="1"/>
    <col min="10" max="11" width="14.08203125" hidden="1" customWidth="1" outlineLevel="1"/>
    <col min="12" max="12" width="15.25" hidden="1" customWidth="1" outlineLevel="1"/>
    <col min="13" max="13" width="17.08203125" bestFit="1" customWidth="1" collapsed="1"/>
    <col min="14" max="14" width="15.58203125" customWidth="1"/>
    <col min="15" max="15" width="15.75" hidden="1" customWidth="1" outlineLevel="1"/>
    <col min="16" max="16" width="17.75" hidden="1" customWidth="1" outlineLevel="1"/>
    <col min="17" max="17" width="14" hidden="1" customWidth="1" outlineLevel="1"/>
    <col min="18" max="18" width="12.75" hidden="1" customWidth="1" outlineLevel="1"/>
    <col min="19" max="19" width="12.5" hidden="1" customWidth="1" outlineLevel="1"/>
    <col min="20" max="20" width="13.75" hidden="1" customWidth="1" outlineLevel="1"/>
    <col min="21" max="21" width="13.5" customWidth="1" collapsed="1"/>
    <col min="22" max="22" width="14.25" bestFit="1" customWidth="1"/>
    <col min="23" max="25" width="14.75" bestFit="1" customWidth="1"/>
    <col min="26" max="26" width="15" bestFit="1" customWidth="1"/>
    <col min="27" max="27" width="14.75" bestFit="1" customWidth="1"/>
    <col min="28" max="28" width="13.5" customWidth="1"/>
    <col min="29" max="29" width="18.08203125" bestFit="1" customWidth="1"/>
    <col min="30" max="30" width="22" bestFit="1" customWidth="1"/>
    <col min="31" max="31" width="42.83203125" bestFit="1" customWidth="1"/>
  </cols>
  <sheetData>
    <row r="1" spans="1:3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1"/>
      <c r="W1" s="1"/>
      <c r="X1" s="1"/>
      <c r="Y1" s="4"/>
      <c r="Z1" s="4"/>
      <c r="AA1" s="4"/>
      <c r="AB1" s="4"/>
      <c r="AC1" s="1"/>
      <c r="AD1" s="1"/>
      <c r="AE1" s="5"/>
    </row>
    <row r="2" spans="1:31" x14ac:dyDescent="0.4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3" t="s">
        <v>29</v>
      </c>
      <c r="AD2" s="3" t="s">
        <v>30</v>
      </c>
      <c r="AE2" s="3" t="s">
        <v>31</v>
      </c>
    </row>
    <row r="3" spans="1:31" ht="30" x14ac:dyDescent="0.45">
      <c r="A3" s="1" t="s">
        <v>32</v>
      </c>
      <c r="B3" s="7" t="s">
        <v>33</v>
      </c>
      <c r="C3" s="7" t="s">
        <v>34</v>
      </c>
      <c r="D3" s="8" t="s">
        <v>35</v>
      </c>
      <c r="E3" s="9"/>
      <c r="F3" s="5"/>
      <c r="G3" s="5"/>
      <c r="H3" s="5"/>
      <c r="I3" s="5"/>
      <c r="J3" s="10"/>
      <c r="K3" s="10"/>
      <c r="L3" s="10"/>
      <c r="M3" s="11">
        <v>72440000</v>
      </c>
      <c r="N3" s="11">
        <f>O3+P3</f>
        <v>42457388</v>
      </c>
      <c r="O3" s="11">
        <v>42457388</v>
      </c>
      <c r="P3" s="11"/>
      <c r="Q3" s="11"/>
      <c r="R3" s="11">
        <v>25000000</v>
      </c>
      <c r="S3" s="11"/>
      <c r="T3" s="11"/>
      <c r="U3" s="11">
        <f>SUM(Q3:T3)</f>
        <v>25000000</v>
      </c>
      <c r="V3" s="11"/>
      <c r="W3" s="11"/>
      <c r="X3" s="11"/>
      <c r="Y3" s="11"/>
      <c r="Z3" s="11"/>
      <c r="AA3" s="11"/>
      <c r="AB3" s="11"/>
      <c r="AC3" s="12">
        <f>SUM(U3:AB3)</f>
        <v>25000000</v>
      </c>
      <c r="AD3" s="4">
        <f>M3-O3-AC3-P3</f>
        <v>4982612</v>
      </c>
      <c r="AE3" s="13" t="s">
        <v>36</v>
      </c>
    </row>
    <row r="4" spans="1:31" ht="30" x14ac:dyDescent="0.45">
      <c r="A4" s="1" t="s">
        <v>37</v>
      </c>
      <c r="B4" s="7" t="s">
        <v>38</v>
      </c>
      <c r="C4" s="7" t="s">
        <v>34</v>
      </c>
      <c r="D4" s="8" t="s">
        <v>39</v>
      </c>
      <c r="E4" s="9"/>
      <c r="F4" s="5" t="s">
        <v>19</v>
      </c>
      <c r="G4" s="5" t="s">
        <v>20</v>
      </c>
      <c r="H4" s="5" t="s">
        <v>22</v>
      </c>
      <c r="I4" s="5"/>
      <c r="J4" s="11">
        <v>175000</v>
      </c>
      <c r="K4" s="11">
        <v>3017000</v>
      </c>
      <c r="L4" s="11">
        <v>14268000</v>
      </c>
      <c r="M4" s="11">
        <v>17459709</v>
      </c>
      <c r="N4" s="11">
        <f t="shared" ref="N4:N66" si="0">O4+P4</f>
        <v>9078599</v>
      </c>
      <c r="O4" s="11">
        <v>9078599</v>
      </c>
      <c r="P4" s="11"/>
      <c r="Q4" s="11"/>
      <c r="R4" s="11"/>
      <c r="S4" s="11">
        <v>2459287</v>
      </c>
      <c r="T4" s="11">
        <v>4741320</v>
      </c>
      <c r="U4" s="11">
        <f t="shared" ref="U4:U66" si="1">SUM(Q4:T4)</f>
        <v>7200607</v>
      </c>
      <c r="V4" s="11">
        <v>1180504</v>
      </c>
      <c r="W4" s="11"/>
      <c r="X4" s="11"/>
      <c r="Y4" s="11"/>
      <c r="Z4" s="11"/>
      <c r="AA4" s="11"/>
      <c r="AB4" s="11"/>
      <c r="AC4" s="12">
        <f t="shared" ref="AC4:AC70" si="2">SUM(U4:AB4)</f>
        <v>8381111</v>
      </c>
      <c r="AD4" s="4">
        <f t="shared" ref="AD4:AD66" si="3">M4-O4-AC4-P4</f>
        <v>-1</v>
      </c>
      <c r="AE4" s="13"/>
    </row>
    <row r="5" spans="1:31" ht="45" x14ac:dyDescent="0.45">
      <c r="A5" s="1" t="s">
        <v>40</v>
      </c>
      <c r="B5" s="14" t="s">
        <v>41</v>
      </c>
      <c r="C5" s="14" t="s">
        <v>42</v>
      </c>
      <c r="D5" s="15"/>
      <c r="E5" s="9"/>
      <c r="F5" s="5" t="s">
        <v>23</v>
      </c>
      <c r="G5" s="5" t="s">
        <v>26</v>
      </c>
      <c r="H5" s="5" t="s">
        <v>27</v>
      </c>
      <c r="I5" s="5" t="s">
        <v>43</v>
      </c>
      <c r="J5" s="11">
        <v>5636774</v>
      </c>
      <c r="K5" s="11">
        <v>5507873</v>
      </c>
      <c r="L5" s="11">
        <v>65014334</v>
      </c>
      <c r="M5" s="11">
        <v>76158981</v>
      </c>
      <c r="N5" s="11">
        <f t="shared" si="0"/>
        <v>0</v>
      </c>
      <c r="O5" s="11">
        <v>0</v>
      </c>
      <c r="P5" s="11"/>
      <c r="Q5" s="11"/>
      <c r="R5" s="11"/>
      <c r="S5" s="11"/>
      <c r="T5" s="11"/>
      <c r="U5" s="11">
        <f t="shared" si="1"/>
        <v>0</v>
      </c>
      <c r="V5" s="11"/>
      <c r="W5" s="11">
        <v>4767006</v>
      </c>
      <c r="X5" s="11">
        <f>8467706-10849</f>
        <v>8456857</v>
      </c>
      <c r="Y5" s="11"/>
      <c r="Z5" s="11"/>
      <c r="AA5" s="11">
        <v>11434376</v>
      </c>
      <c r="AB5" s="11">
        <f>6500000+7000000</f>
        <v>13500000</v>
      </c>
      <c r="AC5" s="12">
        <f>SUM(U5:AB5)</f>
        <v>38158239</v>
      </c>
      <c r="AD5" s="4">
        <f t="shared" si="3"/>
        <v>38000742</v>
      </c>
      <c r="AE5" s="16" t="s">
        <v>44</v>
      </c>
    </row>
    <row r="6" spans="1:31" x14ac:dyDescent="0.45">
      <c r="A6" s="1" t="s">
        <v>45</v>
      </c>
      <c r="B6" s="7" t="s">
        <v>46</v>
      </c>
      <c r="C6" s="7" t="s">
        <v>42</v>
      </c>
      <c r="D6" s="8" t="s">
        <v>47</v>
      </c>
      <c r="E6" s="9"/>
      <c r="F6" s="5"/>
      <c r="G6" s="5" t="s">
        <v>22</v>
      </c>
      <c r="H6" s="5" t="s">
        <v>23</v>
      </c>
      <c r="I6" s="5"/>
      <c r="J6" s="10">
        <v>1391127</v>
      </c>
      <c r="K6" s="10">
        <v>984860</v>
      </c>
      <c r="L6" s="10">
        <v>10065472</v>
      </c>
      <c r="M6" s="11">
        <v>12441459</v>
      </c>
      <c r="N6" s="11">
        <f t="shared" si="0"/>
        <v>9441459</v>
      </c>
      <c r="O6" s="11">
        <v>9441459</v>
      </c>
      <c r="P6" s="11"/>
      <c r="Q6" s="11"/>
      <c r="R6" s="11"/>
      <c r="S6" s="11"/>
      <c r="T6" s="11">
        <v>1391127</v>
      </c>
      <c r="U6" s="11">
        <f t="shared" si="1"/>
        <v>1391127</v>
      </c>
      <c r="V6" s="11"/>
      <c r="W6" s="11">
        <v>984860</v>
      </c>
      <c r="X6" s="11">
        <v>624013</v>
      </c>
      <c r="Y6" s="11"/>
      <c r="Z6" s="11"/>
      <c r="AA6" s="11"/>
      <c r="AB6" s="11"/>
      <c r="AC6" s="12">
        <f t="shared" si="2"/>
        <v>3000000</v>
      </c>
      <c r="AD6" s="4">
        <f t="shared" si="3"/>
        <v>0</v>
      </c>
      <c r="AE6" s="13"/>
    </row>
    <row r="7" spans="1:31" ht="30" x14ac:dyDescent="0.45">
      <c r="A7" s="1" t="s">
        <v>48</v>
      </c>
      <c r="B7" s="7" t="s">
        <v>49</v>
      </c>
      <c r="C7" s="7"/>
      <c r="D7" s="8"/>
      <c r="E7" s="9"/>
      <c r="F7" s="5"/>
      <c r="G7" s="5"/>
      <c r="H7" s="5"/>
      <c r="I7" s="5"/>
      <c r="J7" s="10"/>
      <c r="K7" s="10"/>
      <c r="L7" s="10"/>
      <c r="M7" s="11">
        <v>0</v>
      </c>
      <c r="N7" s="11">
        <f t="shared" si="0"/>
        <v>0</v>
      </c>
      <c r="O7" s="11"/>
      <c r="P7" s="11"/>
      <c r="Q7" s="11"/>
      <c r="R7" s="11">
        <v>194503</v>
      </c>
      <c r="S7" s="11"/>
      <c r="T7" s="11"/>
      <c r="U7" s="11">
        <f t="shared" si="1"/>
        <v>194503</v>
      </c>
      <c r="V7" s="11"/>
      <c r="W7" s="11"/>
      <c r="X7" s="11"/>
      <c r="Y7" s="11"/>
      <c r="Z7" s="11"/>
      <c r="AA7" s="11"/>
      <c r="AB7" s="11"/>
      <c r="AC7" s="12">
        <f t="shared" si="2"/>
        <v>194503</v>
      </c>
      <c r="AD7" s="4">
        <f t="shared" si="3"/>
        <v>-194503</v>
      </c>
      <c r="AE7" s="13" t="s">
        <v>36</v>
      </c>
    </row>
    <row r="8" spans="1:31" x14ac:dyDescent="0.45">
      <c r="A8" s="1" t="s">
        <v>50</v>
      </c>
      <c r="B8" s="7" t="s">
        <v>51</v>
      </c>
      <c r="C8" s="7"/>
      <c r="D8" s="8"/>
      <c r="E8" s="9"/>
      <c r="F8" s="5"/>
      <c r="G8" s="5"/>
      <c r="H8" s="5"/>
      <c r="I8" s="5"/>
      <c r="J8" s="10">
        <v>2637000</v>
      </c>
      <c r="K8" s="10">
        <v>0</v>
      </c>
      <c r="L8" s="10">
        <v>31370461</v>
      </c>
      <c r="M8" s="11">
        <v>34007461</v>
      </c>
      <c r="N8" s="11">
        <f t="shared" si="0"/>
        <v>0</v>
      </c>
      <c r="O8" s="11"/>
      <c r="P8" s="11"/>
      <c r="Q8" s="11">
        <v>1500000</v>
      </c>
      <c r="R8" s="1"/>
      <c r="S8" s="11"/>
      <c r="T8" s="11"/>
      <c r="U8" s="11">
        <f t="shared" si="1"/>
        <v>1500000</v>
      </c>
      <c r="V8" s="11"/>
      <c r="W8" s="11"/>
      <c r="X8" s="11"/>
      <c r="Y8" s="11"/>
      <c r="Z8" s="11"/>
      <c r="AA8" s="11"/>
      <c r="AB8" s="11"/>
      <c r="AC8" s="12">
        <f t="shared" si="2"/>
        <v>1500000</v>
      </c>
      <c r="AD8" s="4">
        <f t="shared" si="3"/>
        <v>32507461</v>
      </c>
      <c r="AE8" s="13"/>
    </row>
    <row r="9" spans="1:31" x14ac:dyDescent="0.45">
      <c r="A9" s="1" t="s">
        <v>52</v>
      </c>
      <c r="B9" s="7" t="s">
        <v>53</v>
      </c>
      <c r="C9" s="7" t="s">
        <v>42</v>
      </c>
      <c r="D9" s="8"/>
      <c r="E9" s="9"/>
      <c r="F9" s="5" t="s">
        <v>20</v>
      </c>
      <c r="G9" s="5"/>
      <c r="H9" s="5" t="s">
        <v>20</v>
      </c>
      <c r="I9" s="5" t="s">
        <v>22</v>
      </c>
      <c r="J9" s="10"/>
      <c r="K9" s="10"/>
      <c r="L9" s="10"/>
      <c r="M9" s="11">
        <v>3760000</v>
      </c>
      <c r="N9" s="11">
        <f t="shared" si="0"/>
        <v>0</v>
      </c>
      <c r="O9" s="11"/>
      <c r="P9" s="11"/>
      <c r="Q9" s="11">
        <v>3000000</v>
      </c>
      <c r="R9" s="1"/>
      <c r="S9" s="11"/>
      <c r="T9" s="11"/>
      <c r="U9" s="11">
        <f t="shared" si="1"/>
        <v>3000000</v>
      </c>
      <c r="V9" s="11"/>
      <c r="W9" s="11"/>
      <c r="X9" s="11"/>
      <c r="Y9" s="11"/>
      <c r="Z9" s="11"/>
      <c r="AA9" s="11"/>
      <c r="AB9" s="11"/>
      <c r="AC9" s="12">
        <f t="shared" si="2"/>
        <v>3000000</v>
      </c>
      <c r="AD9" s="4">
        <f t="shared" si="3"/>
        <v>760000</v>
      </c>
      <c r="AE9" s="13"/>
    </row>
    <row r="10" spans="1:31" x14ac:dyDescent="0.45">
      <c r="A10" s="1" t="s">
        <v>54</v>
      </c>
      <c r="B10" s="7" t="s">
        <v>55</v>
      </c>
      <c r="C10" s="7" t="s">
        <v>42</v>
      </c>
      <c r="D10" s="8" t="s">
        <v>56</v>
      </c>
      <c r="E10" s="9"/>
      <c r="F10" s="5" t="s">
        <v>18</v>
      </c>
      <c r="G10" s="5" t="s">
        <v>19</v>
      </c>
      <c r="H10" s="5" t="s">
        <v>20</v>
      </c>
      <c r="I10" s="5" t="s">
        <v>20</v>
      </c>
      <c r="J10" s="10">
        <v>227000</v>
      </c>
      <c r="K10" s="10">
        <v>78000</v>
      </c>
      <c r="L10" s="10">
        <v>840000</v>
      </c>
      <c r="M10" s="11">
        <v>890000</v>
      </c>
      <c r="N10" s="11">
        <f t="shared" si="0"/>
        <v>437000</v>
      </c>
      <c r="O10" s="11">
        <v>210000</v>
      </c>
      <c r="P10" s="11">
        <v>227000</v>
      </c>
      <c r="Q10" s="11">
        <v>713000</v>
      </c>
      <c r="R10" s="1"/>
      <c r="S10" s="11"/>
      <c r="T10" s="11"/>
      <c r="U10" s="11">
        <f t="shared" si="1"/>
        <v>713000</v>
      </c>
      <c r="V10" s="11"/>
      <c r="W10" s="11"/>
      <c r="X10" s="11"/>
      <c r="Y10" s="11"/>
      <c r="Z10" s="11"/>
      <c r="AA10" s="11"/>
      <c r="AB10" s="11"/>
      <c r="AC10" s="12">
        <f t="shared" si="2"/>
        <v>713000</v>
      </c>
      <c r="AD10" s="4">
        <f t="shared" si="3"/>
        <v>-260000</v>
      </c>
      <c r="AE10" s="13"/>
    </row>
    <row r="11" spans="1:31" x14ac:dyDescent="0.45">
      <c r="A11" s="1" t="s">
        <v>57</v>
      </c>
      <c r="B11" s="7" t="s">
        <v>58</v>
      </c>
      <c r="C11" s="7" t="s">
        <v>42</v>
      </c>
      <c r="D11" s="8" t="s">
        <v>59</v>
      </c>
      <c r="E11" s="9"/>
      <c r="F11" s="5" t="s">
        <v>18</v>
      </c>
      <c r="G11" s="5" t="s">
        <v>19</v>
      </c>
      <c r="H11" s="5" t="s">
        <v>22</v>
      </c>
      <c r="I11" s="5" t="s">
        <v>23</v>
      </c>
      <c r="J11" s="10">
        <v>624000</v>
      </c>
      <c r="K11" s="10">
        <v>118000</v>
      </c>
      <c r="L11" s="10">
        <v>2270000</v>
      </c>
      <c r="M11" s="11">
        <v>3310000</v>
      </c>
      <c r="N11" s="11">
        <f t="shared" si="0"/>
        <v>2560519</v>
      </c>
      <c r="O11" s="11">
        <v>1982519</v>
      </c>
      <c r="P11" s="11">
        <v>578000</v>
      </c>
      <c r="Q11" s="11">
        <v>396504</v>
      </c>
      <c r="R11" s="1"/>
      <c r="S11" s="11"/>
      <c r="T11" s="11"/>
      <c r="U11" s="11">
        <f t="shared" si="1"/>
        <v>396504</v>
      </c>
      <c r="V11" s="11"/>
      <c r="W11" s="11"/>
      <c r="X11" s="11"/>
      <c r="Y11" s="11"/>
      <c r="Z11" s="11"/>
      <c r="AA11" s="11"/>
      <c r="AB11" s="11"/>
      <c r="AC11" s="12">
        <f t="shared" si="2"/>
        <v>396504</v>
      </c>
      <c r="AD11" s="4">
        <f t="shared" si="3"/>
        <v>352977</v>
      </c>
      <c r="AE11" s="13"/>
    </row>
    <row r="12" spans="1:31" x14ac:dyDescent="0.45">
      <c r="A12" s="1" t="s">
        <v>60</v>
      </c>
      <c r="B12" s="7" t="s">
        <v>61</v>
      </c>
      <c r="C12" s="7" t="s">
        <v>42</v>
      </c>
      <c r="D12" s="8" t="s">
        <v>62</v>
      </c>
      <c r="E12" s="9"/>
      <c r="F12" s="5" t="s">
        <v>18</v>
      </c>
      <c r="G12" s="5" t="s">
        <v>19</v>
      </c>
      <c r="H12" s="5" t="s">
        <v>22</v>
      </c>
      <c r="I12" s="5" t="s">
        <v>23</v>
      </c>
      <c r="J12" s="10">
        <v>651000</v>
      </c>
      <c r="K12" s="10">
        <v>98000</v>
      </c>
      <c r="L12" s="10">
        <v>3450000</v>
      </c>
      <c r="M12" s="11">
        <v>4290000</v>
      </c>
      <c r="N12" s="11">
        <f t="shared" si="0"/>
        <v>3363217</v>
      </c>
      <c r="O12" s="11">
        <v>3363217</v>
      </c>
      <c r="P12" s="11"/>
      <c r="Q12" s="11">
        <v>803000</v>
      </c>
      <c r="R12" s="1"/>
      <c r="S12" s="11"/>
      <c r="T12" s="11"/>
      <c r="U12" s="11">
        <f t="shared" si="1"/>
        <v>803000</v>
      </c>
      <c r="V12" s="11"/>
      <c r="W12" s="11"/>
      <c r="X12" s="11"/>
      <c r="Y12" s="11"/>
      <c r="Z12" s="11"/>
      <c r="AA12" s="11"/>
      <c r="AB12" s="11"/>
      <c r="AC12" s="12">
        <f t="shared" si="2"/>
        <v>803000</v>
      </c>
      <c r="AD12" s="4">
        <f t="shared" si="3"/>
        <v>123783</v>
      </c>
      <c r="AE12" s="13"/>
    </row>
    <row r="13" spans="1:31" x14ac:dyDescent="0.45">
      <c r="A13" s="1" t="s">
        <v>63</v>
      </c>
      <c r="B13" s="7" t="s">
        <v>64</v>
      </c>
      <c r="C13" s="7" t="s">
        <v>42</v>
      </c>
      <c r="D13" s="8"/>
      <c r="E13" s="9"/>
      <c r="F13" s="5" t="s">
        <v>18</v>
      </c>
      <c r="G13" s="5" t="s">
        <v>19</v>
      </c>
      <c r="H13" s="5" t="s">
        <v>20</v>
      </c>
      <c r="I13" s="5" t="s">
        <v>22</v>
      </c>
      <c r="J13" s="10">
        <v>463000</v>
      </c>
      <c r="K13" s="10">
        <v>200000</v>
      </c>
      <c r="L13" s="10">
        <v>3536000</v>
      </c>
      <c r="M13" s="11">
        <v>4150000</v>
      </c>
      <c r="N13" s="11">
        <f t="shared" si="0"/>
        <v>0</v>
      </c>
      <c r="O13" s="11"/>
      <c r="P13" s="11"/>
      <c r="Q13" s="11">
        <v>3073000</v>
      </c>
      <c r="R13" s="1"/>
      <c r="S13" s="11"/>
      <c r="T13" s="11"/>
      <c r="U13" s="11">
        <f t="shared" si="1"/>
        <v>3073000</v>
      </c>
      <c r="V13" s="11"/>
      <c r="W13" s="11"/>
      <c r="X13" s="11"/>
      <c r="Y13" s="11"/>
      <c r="Z13" s="11"/>
      <c r="AA13" s="11"/>
      <c r="AB13" s="11"/>
      <c r="AC13" s="12">
        <f t="shared" si="2"/>
        <v>3073000</v>
      </c>
      <c r="AD13" s="4">
        <f t="shared" si="3"/>
        <v>1077000</v>
      </c>
      <c r="AE13" s="13"/>
    </row>
    <row r="14" spans="1:31" x14ac:dyDescent="0.45">
      <c r="A14" s="1" t="s">
        <v>65</v>
      </c>
      <c r="B14" s="7" t="s">
        <v>66</v>
      </c>
      <c r="C14" s="7" t="s">
        <v>42</v>
      </c>
      <c r="D14" s="8" t="s">
        <v>67</v>
      </c>
      <c r="E14" s="9"/>
      <c r="F14" s="5" t="s">
        <v>18</v>
      </c>
      <c r="G14" s="5" t="s">
        <v>20</v>
      </c>
      <c r="H14" s="5" t="s">
        <v>22</v>
      </c>
      <c r="I14" s="5" t="s">
        <v>23</v>
      </c>
      <c r="J14" s="10">
        <v>597000</v>
      </c>
      <c r="K14" s="10">
        <v>887000</v>
      </c>
      <c r="L14" s="10">
        <v>4310000</v>
      </c>
      <c r="M14" s="11">
        <v>6710000</v>
      </c>
      <c r="N14" s="11">
        <f t="shared" si="0"/>
        <v>4678000</v>
      </c>
      <c r="O14" s="11">
        <v>4678000</v>
      </c>
      <c r="P14" s="11"/>
      <c r="Q14" s="11">
        <v>1037401</v>
      </c>
      <c r="R14" s="1"/>
      <c r="S14" s="11"/>
      <c r="T14" s="11"/>
      <c r="U14" s="11">
        <f t="shared" si="1"/>
        <v>1037401</v>
      </c>
      <c r="V14" s="11"/>
      <c r="W14" s="11"/>
      <c r="X14" s="11"/>
      <c r="Y14" s="11"/>
      <c r="Z14" s="11"/>
      <c r="AA14" s="11"/>
      <c r="AB14" s="11"/>
      <c r="AC14" s="12">
        <f t="shared" si="2"/>
        <v>1037401</v>
      </c>
      <c r="AD14" s="4">
        <f t="shared" si="3"/>
        <v>994599</v>
      </c>
      <c r="AE14" s="13"/>
    </row>
    <row r="15" spans="1:31" x14ac:dyDescent="0.45">
      <c r="A15" s="1" t="s">
        <v>68</v>
      </c>
      <c r="B15" s="7" t="s">
        <v>69</v>
      </c>
      <c r="C15" s="7" t="s">
        <v>42</v>
      </c>
      <c r="D15" s="8"/>
      <c r="E15" s="9"/>
      <c r="F15" s="5" t="s">
        <v>18</v>
      </c>
      <c r="G15" s="5" t="s">
        <v>19</v>
      </c>
      <c r="H15" s="5" t="s">
        <v>20</v>
      </c>
      <c r="I15" s="5" t="s">
        <v>22</v>
      </c>
      <c r="J15" s="10">
        <v>691000</v>
      </c>
      <c r="K15" s="10">
        <v>560000</v>
      </c>
      <c r="L15" s="10">
        <v>3146000</v>
      </c>
      <c r="M15" s="11">
        <v>4890000</v>
      </c>
      <c r="N15" s="11">
        <f t="shared" si="0"/>
        <v>691000</v>
      </c>
      <c r="O15" s="11"/>
      <c r="P15" s="11">
        <v>691000</v>
      </c>
      <c r="Q15" s="11">
        <v>3706000</v>
      </c>
      <c r="R15" s="1"/>
      <c r="S15" s="11"/>
      <c r="T15" s="11"/>
      <c r="U15" s="11">
        <f t="shared" si="1"/>
        <v>3706000</v>
      </c>
      <c r="V15" s="11"/>
      <c r="W15" s="11"/>
      <c r="X15" s="11"/>
      <c r="Y15" s="11"/>
      <c r="Z15" s="11"/>
      <c r="AA15" s="11"/>
      <c r="AB15" s="11"/>
      <c r="AC15" s="12">
        <f t="shared" si="2"/>
        <v>3706000</v>
      </c>
      <c r="AD15" s="4">
        <f t="shared" si="3"/>
        <v>493000</v>
      </c>
      <c r="AE15" s="13"/>
    </row>
    <row r="16" spans="1:31" x14ac:dyDescent="0.45">
      <c r="A16" s="1" t="s">
        <v>70</v>
      </c>
      <c r="B16" s="7" t="s">
        <v>71</v>
      </c>
      <c r="C16" s="7" t="s">
        <v>42</v>
      </c>
      <c r="D16" s="8"/>
      <c r="E16" s="9"/>
      <c r="F16" s="5" t="s">
        <v>18</v>
      </c>
      <c r="G16" s="5" t="s">
        <v>20</v>
      </c>
      <c r="H16" s="5" t="s">
        <v>22</v>
      </c>
      <c r="I16" s="5" t="s">
        <v>24</v>
      </c>
      <c r="J16" s="10">
        <v>3186000</v>
      </c>
      <c r="K16" s="10">
        <v>3621000</v>
      </c>
      <c r="L16" s="10">
        <v>22470000</v>
      </c>
      <c r="M16" s="11">
        <v>30390000</v>
      </c>
      <c r="N16" s="11">
        <f t="shared" si="0"/>
        <v>3186000</v>
      </c>
      <c r="O16" s="11"/>
      <c r="P16" s="11">
        <v>3186000</v>
      </c>
      <c r="Q16" s="11">
        <v>18791656</v>
      </c>
      <c r="R16" s="11">
        <v>7299344</v>
      </c>
      <c r="S16" s="11"/>
      <c r="T16" s="11"/>
      <c r="U16" s="11">
        <f t="shared" si="1"/>
        <v>26091000</v>
      </c>
      <c r="V16" s="11"/>
      <c r="W16" s="11"/>
      <c r="X16" s="11"/>
      <c r="Y16" s="11"/>
      <c r="Z16" s="11"/>
      <c r="AA16" s="11"/>
      <c r="AB16" s="11"/>
      <c r="AC16" s="12">
        <f t="shared" si="2"/>
        <v>26091000</v>
      </c>
      <c r="AD16" s="4">
        <f t="shared" si="3"/>
        <v>1113000</v>
      </c>
      <c r="AE16" s="13"/>
    </row>
    <row r="17" spans="1:31" ht="30" x14ac:dyDescent="0.45">
      <c r="A17" s="1" t="s">
        <v>72</v>
      </c>
      <c r="B17" s="1" t="s">
        <v>73</v>
      </c>
      <c r="C17" s="1"/>
      <c r="D17" s="15"/>
      <c r="E17" s="9"/>
      <c r="F17" s="5"/>
      <c r="G17" s="5"/>
      <c r="H17" s="5"/>
      <c r="I17" s="5"/>
      <c r="J17" s="11"/>
      <c r="K17" s="11"/>
      <c r="L17" s="11"/>
      <c r="M17" s="11">
        <v>234000</v>
      </c>
      <c r="N17" s="11">
        <f t="shared" si="0"/>
        <v>0</v>
      </c>
      <c r="O17" s="11">
        <v>0</v>
      </c>
      <c r="P17" s="11"/>
      <c r="Q17" s="11"/>
      <c r="R17" s="11"/>
      <c r="S17" s="11"/>
      <c r="T17" s="11"/>
      <c r="U17" s="11">
        <f t="shared" si="1"/>
        <v>0</v>
      </c>
      <c r="V17" s="11"/>
      <c r="W17" s="11"/>
      <c r="X17" s="11"/>
      <c r="Y17" s="11"/>
      <c r="Z17" s="11"/>
      <c r="AA17" s="11"/>
      <c r="AB17" s="11"/>
      <c r="AC17" s="12">
        <f t="shared" si="2"/>
        <v>0</v>
      </c>
      <c r="AD17" s="4">
        <f t="shared" si="3"/>
        <v>234000</v>
      </c>
      <c r="AE17" s="13" t="s">
        <v>74</v>
      </c>
    </row>
    <row r="18" spans="1:31" x14ac:dyDescent="0.45">
      <c r="A18" s="1" t="s">
        <v>75</v>
      </c>
      <c r="B18" s="1" t="s">
        <v>76</v>
      </c>
      <c r="C18" s="1" t="s">
        <v>34</v>
      </c>
      <c r="D18" s="15" t="s">
        <v>77</v>
      </c>
      <c r="E18" s="9"/>
      <c r="F18" s="5" t="s">
        <v>23</v>
      </c>
      <c r="G18" s="5" t="s">
        <v>26</v>
      </c>
      <c r="H18" s="5" t="s">
        <v>27</v>
      </c>
      <c r="I18" s="5" t="s">
        <v>28</v>
      </c>
      <c r="J18" s="11">
        <v>5374713</v>
      </c>
      <c r="K18" s="11">
        <v>1274992</v>
      </c>
      <c r="L18" s="11">
        <v>69268236</v>
      </c>
      <c r="M18" s="11">
        <v>75917941</v>
      </c>
      <c r="N18" s="11">
        <f t="shared" si="0"/>
        <v>42218112</v>
      </c>
      <c r="O18" s="11">
        <v>42218112</v>
      </c>
      <c r="P18" s="11"/>
      <c r="Q18" s="11"/>
      <c r="R18" s="11"/>
      <c r="S18" s="11"/>
      <c r="T18" s="11">
        <v>5314767</v>
      </c>
      <c r="U18" s="11">
        <f t="shared" si="1"/>
        <v>5314767</v>
      </c>
      <c r="V18" s="11"/>
      <c r="W18" s="11"/>
      <c r="X18" s="11">
        <v>1895820</v>
      </c>
      <c r="Y18" s="11">
        <v>26489242</v>
      </c>
      <c r="Z18" s="11"/>
      <c r="AA18" s="11"/>
      <c r="AB18" s="11"/>
      <c r="AC18" s="12">
        <f t="shared" si="2"/>
        <v>33699829</v>
      </c>
      <c r="AD18" s="4">
        <f t="shared" si="3"/>
        <v>0</v>
      </c>
      <c r="AE18" s="13"/>
    </row>
    <row r="19" spans="1:31" x14ac:dyDescent="0.45">
      <c r="A19" s="1" t="s">
        <v>78</v>
      </c>
      <c r="B19" s="1" t="s">
        <v>79</v>
      </c>
      <c r="C19" s="1"/>
      <c r="D19" s="15" t="s">
        <v>80</v>
      </c>
      <c r="E19" s="9"/>
      <c r="F19" s="5" t="s">
        <v>22</v>
      </c>
      <c r="G19" s="5" t="s">
        <v>23</v>
      </c>
      <c r="H19" s="5" t="s">
        <v>25</v>
      </c>
      <c r="I19" s="5" t="s">
        <v>26</v>
      </c>
      <c r="J19" s="11">
        <v>1346000</v>
      </c>
      <c r="K19" s="11">
        <v>89000</v>
      </c>
      <c r="L19" s="11">
        <v>6077512</v>
      </c>
      <c r="M19" s="11">
        <v>7512512</v>
      </c>
      <c r="N19" s="11">
        <f t="shared" si="0"/>
        <v>4000000</v>
      </c>
      <c r="O19" s="11">
        <v>4000000</v>
      </c>
      <c r="P19" s="11"/>
      <c r="Q19" s="11"/>
      <c r="R19" s="11"/>
      <c r="S19" s="11"/>
      <c r="T19" s="11"/>
      <c r="U19" s="11">
        <f t="shared" si="1"/>
        <v>0</v>
      </c>
      <c r="V19" s="11"/>
      <c r="W19" s="11"/>
      <c r="X19" s="11"/>
      <c r="Y19" s="11">
        <v>606000</v>
      </c>
      <c r="Z19" s="11"/>
      <c r="AA19" s="11"/>
      <c r="AB19" s="11"/>
      <c r="AC19" s="12">
        <f t="shared" si="2"/>
        <v>606000</v>
      </c>
      <c r="AD19" s="4">
        <f t="shared" si="3"/>
        <v>2906512</v>
      </c>
      <c r="AE19" s="13"/>
    </row>
    <row r="20" spans="1:31" x14ac:dyDescent="0.45">
      <c r="A20" s="1" t="s">
        <v>81</v>
      </c>
      <c r="B20" s="1" t="s">
        <v>82</v>
      </c>
      <c r="C20" s="1" t="s">
        <v>34</v>
      </c>
      <c r="D20" s="15" t="s">
        <v>83</v>
      </c>
      <c r="E20" s="9"/>
      <c r="F20" s="5" t="s">
        <v>18</v>
      </c>
      <c r="G20" s="5"/>
      <c r="H20" s="5" t="s">
        <v>22</v>
      </c>
      <c r="I20" s="5"/>
      <c r="J20" s="11">
        <v>565766</v>
      </c>
      <c r="K20" s="11">
        <v>0</v>
      </c>
      <c r="L20" s="11">
        <v>3054497</v>
      </c>
      <c r="M20" s="11">
        <v>3620263</v>
      </c>
      <c r="N20" s="11">
        <f t="shared" si="0"/>
        <v>3422216</v>
      </c>
      <c r="O20" s="11">
        <v>3422216</v>
      </c>
      <c r="P20" s="11"/>
      <c r="Q20" s="11"/>
      <c r="R20" s="11"/>
      <c r="S20" s="11"/>
      <c r="T20" s="11"/>
      <c r="U20" s="11">
        <f t="shared" si="1"/>
        <v>0</v>
      </c>
      <c r="V20" s="11">
        <v>200000</v>
      </c>
      <c r="W20" s="11"/>
      <c r="X20" s="11"/>
      <c r="Y20" s="11"/>
      <c r="Z20" s="11"/>
      <c r="AA20" s="11"/>
      <c r="AB20" s="11"/>
      <c r="AC20" s="12">
        <f t="shared" si="2"/>
        <v>200000</v>
      </c>
      <c r="AD20" s="4">
        <f t="shared" si="3"/>
        <v>-1953</v>
      </c>
      <c r="AE20" s="13"/>
    </row>
    <row r="21" spans="1:31" x14ac:dyDescent="0.45">
      <c r="A21" s="1" t="s">
        <v>84</v>
      </c>
      <c r="B21" s="1" t="s">
        <v>85</v>
      </c>
      <c r="C21" s="1"/>
      <c r="D21" s="15"/>
      <c r="E21" s="9"/>
      <c r="F21" s="5"/>
      <c r="G21" s="5"/>
      <c r="H21" s="5"/>
      <c r="I21" s="5"/>
      <c r="J21" s="11"/>
      <c r="K21" s="11"/>
      <c r="L21" s="11"/>
      <c r="M21" s="11">
        <v>1800000</v>
      </c>
      <c r="N21" s="11">
        <f t="shared" si="0"/>
        <v>0</v>
      </c>
      <c r="O21" s="11"/>
      <c r="P21" s="11"/>
      <c r="Q21" s="11">
        <v>1800000</v>
      </c>
      <c r="R21" s="11"/>
      <c r="S21" s="11"/>
      <c r="T21" s="11"/>
      <c r="U21" s="11">
        <f t="shared" si="1"/>
        <v>1800000</v>
      </c>
      <c r="V21" s="11"/>
      <c r="W21" s="11"/>
      <c r="X21" s="11"/>
      <c r="Y21" s="11"/>
      <c r="Z21" s="11"/>
      <c r="AA21" s="11"/>
      <c r="AB21" s="11"/>
      <c r="AC21" s="12">
        <f t="shared" si="2"/>
        <v>1800000</v>
      </c>
      <c r="AD21" s="4">
        <f t="shared" si="3"/>
        <v>0</v>
      </c>
      <c r="AE21" s="13"/>
    </row>
    <row r="22" spans="1:31" x14ac:dyDescent="0.45">
      <c r="A22" s="1" t="s">
        <v>86</v>
      </c>
      <c r="B22" s="13" t="s">
        <v>87</v>
      </c>
      <c r="C22" s="13" t="s">
        <v>34</v>
      </c>
      <c r="D22" s="8" t="s">
        <v>88</v>
      </c>
      <c r="E22" s="9"/>
      <c r="F22" s="5" t="s">
        <v>20</v>
      </c>
      <c r="G22" s="5" t="s">
        <v>24</v>
      </c>
      <c r="H22" s="5" t="s">
        <v>25</v>
      </c>
      <c r="I22" s="5" t="s">
        <v>27</v>
      </c>
      <c r="J22" s="11">
        <v>4839454</v>
      </c>
      <c r="K22" s="11">
        <v>935413</v>
      </c>
      <c r="L22" s="11">
        <v>33786868</v>
      </c>
      <c r="M22" s="11">
        <v>39561735</v>
      </c>
      <c r="N22" s="11">
        <f t="shared" si="0"/>
        <v>31561735</v>
      </c>
      <c r="O22" s="11">
        <v>31561735</v>
      </c>
      <c r="P22" s="11"/>
      <c r="Q22" s="11"/>
      <c r="R22" s="11"/>
      <c r="S22" s="11"/>
      <c r="T22" s="11"/>
      <c r="U22" s="11">
        <f t="shared" si="1"/>
        <v>0</v>
      </c>
      <c r="V22" s="11"/>
      <c r="W22" s="11"/>
      <c r="X22" s="11"/>
      <c r="Y22" s="11">
        <v>8000000</v>
      </c>
      <c r="Z22" s="11"/>
      <c r="AA22" s="11"/>
      <c r="AB22" s="11"/>
      <c r="AC22" s="12">
        <f t="shared" si="2"/>
        <v>8000000</v>
      </c>
      <c r="AD22" s="4">
        <f t="shared" si="3"/>
        <v>0</v>
      </c>
      <c r="AE22" s="13"/>
    </row>
    <row r="23" spans="1:31" x14ac:dyDescent="0.45">
      <c r="A23" s="1" t="s">
        <v>89</v>
      </c>
      <c r="B23" s="1" t="s">
        <v>90</v>
      </c>
      <c r="C23" s="1"/>
      <c r="D23" s="15"/>
      <c r="E23" s="9"/>
      <c r="F23" s="5"/>
      <c r="G23" s="5"/>
      <c r="H23" s="5"/>
      <c r="I23" s="5"/>
      <c r="J23" s="11">
        <v>1655000</v>
      </c>
      <c r="K23" s="11">
        <v>1960000</v>
      </c>
      <c r="L23" s="11">
        <v>6363000</v>
      </c>
      <c r="M23" s="11">
        <v>9978000</v>
      </c>
      <c r="N23" s="11">
        <f t="shared" si="0"/>
        <v>0</v>
      </c>
      <c r="O23" s="11"/>
      <c r="P23" s="11"/>
      <c r="Q23" s="11"/>
      <c r="R23" s="11">
        <v>1655000</v>
      </c>
      <c r="S23" s="11">
        <v>1960000</v>
      </c>
      <c r="T23" s="11"/>
      <c r="U23" s="11">
        <f t="shared" si="1"/>
        <v>3615000</v>
      </c>
      <c r="V23" s="11">
        <v>3181500</v>
      </c>
      <c r="W23" s="11">
        <v>3181500</v>
      </c>
      <c r="X23" s="11"/>
      <c r="Y23" s="11"/>
      <c r="Z23" s="11"/>
      <c r="AA23" s="11"/>
      <c r="AB23" s="11"/>
      <c r="AC23" s="12">
        <f t="shared" si="2"/>
        <v>9978000</v>
      </c>
      <c r="AD23" s="4">
        <f t="shared" si="3"/>
        <v>0</v>
      </c>
      <c r="AE23" s="13"/>
    </row>
    <row r="24" spans="1:31" x14ac:dyDescent="0.45">
      <c r="A24" s="1" t="s">
        <v>91</v>
      </c>
      <c r="B24" s="1" t="s">
        <v>92</v>
      </c>
      <c r="C24" s="1"/>
      <c r="D24" s="15"/>
      <c r="E24" s="9"/>
      <c r="F24" s="5"/>
      <c r="G24" s="5"/>
      <c r="H24" s="5"/>
      <c r="I24" s="5"/>
      <c r="J24" s="11">
        <v>564900</v>
      </c>
      <c r="K24" s="11">
        <v>1034997</v>
      </c>
      <c r="L24" s="11">
        <v>4744934</v>
      </c>
      <c r="M24" s="11">
        <v>6344831</v>
      </c>
      <c r="N24" s="11">
        <f t="shared" si="0"/>
        <v>0</v>
      </c>
      <c r="O24" s="11"/>
      <c r="P24" s="11"/>
      <c r="Q24" s="11"/>
      <c r="R24" s="11"/>
      <c r="S24" s="11">
        <v>564900</v>
      </c>
      <c r="T24" s="11">
        <v>1034997</v>
      </c>
      <c r="U24" s="11">
        <f t="shared" si="1"/>
        <v>1599897</v>
      </c>
      <c r="V24" s="11"/>
      <c r="W24" s="11">
        <v>2372467</v>
      </c>
      <c r="X24" s="11">
        <v>2372467</v>
      </c>
      <c r="Y24" s="11"/>
      <c r="Z24" s="11"/>
      <c r="AA24" s="11"/>
      <c r="AB24" s="11"/>
      <c r="AC24" s="12">
        <f t="shared" si="2"/>
        <v>6344831</v>
      </c>
      <c r="AD24" s="4">
        <f t="shared" si="3"/>
        <v>0</v>
      </c>
      <c r="AE24" s="13"/>
    </row>
    <row r="25" spans="1:31" x14ac:dyDescent="0.45">
      <c r="A25" s="1" t="s">
        <v>93</v>
      </c>
      <c r="B25" s="13" t="s">
        <v>94</v>
      </c>
      <c r="C25" s="13" t="s">
        <v>34</v>
      </c>
      <c r="D25" s="8" t="s">
        <v>95</v>
      </c>
      <c r="E25" s="9"/>
      <c r="F25" s="5" t="s">
        <v>96</v>
      </c>
      <c r="G25" s="5" t="s">
        <v>24</v>
      </c>
      <c r="H25" s="5" t="s">
        <v>24</v>
      </c>
      <c r="I25" s="5"/>
      <c r="J25" s="11">
        <v>5945055</v>
      </c>
      <c r="K25" s="11">
        <v>2264074</v>
      </c>
      <c r="L25" s="11">
        <v>81790871</v>
      </c>
      <c r="M25" s="11">
        <v>90000000</v>
      </c>
      <c r="N25" s="11">
        <f t="shared" si="0"/>
        <v>85000000</v>
      </c>
      <c r="O25" s="11">
        <v>85000000</v>
      </c>
      <c r="P25" s="11"/>
      <c r="Q25" s="11"/>
      <c r="R25" s="11"/>
      <c r="S25" s="11"/>
      <c r="T25" s="11"/>
      <c r="U25" s="11">
        <f t="shared" si="1"/>
        <v>0</v>
      </c>
      <c r="V25" s="11"/>
      <c r="W25" s="11"/>
      <c r="X25" s="11">
        <v>5000000</v>
      </c>
      <c r="Y25" s="11"/>
      <c r="Z25" s="11"/>
      <c r="AA25" s="11"/>
      <c r="AB25" s="11"/>
      <c r="AC25" s="12">
        <f t="shared" si="2"/>
        <v>5000000</v>
      </c>
      <c r="AD25" s="4">
        <f t="shared" si="3"/>
        <v>0</v>
      </c>
      <c r="AE25" s="13"/>
    </row>
    <row r="26" spans="1:31" ht="30" x14ac:dyDescent="0.45">
      <c r="A26" s="1" t="s">
        <v>97</v>
      </c>
      <c r="B26" s="13" t="s">
        <v>98</v>
      </c>
      <c r="C26" s="13" t="s">
        <v>34</v>
      </c>
      <c r="D26" s="8"/>
      <c r="E26" s="9"/>
      <c r="F26" s="5" t="s">
        <v>22</v>
      </c>
      <c r="G26" s="5"/>
      <c r="H26" s="5"/>
      <c r="I26" s="5"/>
      <c r="J26" s="11">
        <v>2000000</v>
      </c>
      <c r="K26" s="11"/>
      <c r="L26" s="11"/>
      <c r="M26" s="11">
        <v>2000000</v>
      </c>
      <c r="N26" s="11">
        <f t="shared" si="0"/>
        <v>0</v>
      </c>
      <c r="O26" s="11"/>
      <c r="P26" s="11"/>
      <c r="Q26" s="11">
        <v>2000000</v>
      </c>
      <c r="R26" s="11"/>
      <c r="S26" s="11"/>
      <c r="T26" s="11"/>
      <c r="U26" s="11">
        <f t="shared" si="1"/>
        <v>2000000</v>
      </c>
      <c r="V26" s="11"/>
      <c r="W26" s="11"/>
      <c r="X26" s="11"/>
      <c r="Y26" s="11"/>
      <c r="Z26" s="11"/>
      <c r="AA26" s="11"/>
      <c r="AB26" s="11"/>
      <c r="AC26" s="12">
        <f t="shared" si="2"/>
        <v>2000000</v>
      </c>
      <c r="AD26" s="4">
        <f t="shared" si="3"/>
        <v>0</v>
      </c>
      <c r="AE26" s="13"/>
    </row>
    <row r="27" spans="1:31" x14ac:dyDescent="0.45">
      <c r="A27" s="1" t="s">
        <v>99</v>
      </c>
      <c r="B27" s="17" t="s">
        <v>100</v>
      </c>
      <c r="C27" s="17"/>
      <c r="D27" s="8"/>
      <c r="E27" s="9"/>
      <c r="F27" s="5" t="s">
        <v>19</v>
      </c>
      <c r="G27" s="5"/>
      <c r="H27" s="5"/>
      <c r="I27" s="5"/>
      <c r="J27" s="11">
        <v>3696750</v>
      </c>
      <c r="K27" s="11"/>
      <c r="L27" s="11"/>
      <c r="M27" s="11">
        <v>3696750</v>
      </c>
      <c r="N27" s="11">
        <f t="shared" si="0"/>
        <v>0</v>
      </c>
      <c r="O27" s="11"/>
      <c r="P27" s="11"/>
      <c r="Q27" s="11">
        <v>3696750</v>
      </c>
      <c r="R27" s="11"/>
      <c r="S27" s="11"/>
      <c r="T27" s="11"/>
      <c r="U27" s="11">
        <f t="shared" si="1"/>
        <v>3696750</v>
      </c>
      <c r="V27" s="11"/>
      <c r="W27" s="11"/>
      <c r="X27" s="11"/>
      <c r="Y27" s="11"/>
      <c r="Z27" s="11"/>
      <c r="AA27" s="11"/>
      <c r="AB27" s="11"/>
      <c r="AC27" s="12">
        <f t="shared" si="2"/>
        <v>3696750</v>
      </c>
      <c r="AD27" s="4">
        <f t="shared" si="3"/>
        <v>0</v>
      </c>
      <c r="AE27" s="13"/>
    </row>
    <row r="28" spans="1:31" x14ac:dyDescent="0.45">
      <c r="A28" s="1" t="s">
        <v>101</v>
      </c>
      <c r="B28" s="13" t="s">
        <v>102</v>
      </c>
      <c r="C28" s="13"/>
      <c r="D28" s="8"/>
      <c r="E28" s="9"/>
      <c r="F28" s="5" t="s">
        <v>19</v>
      </c>
      <c r="G28" s="5"/>
      <c r="H28" s="5"/>
      <c r="I28" s="5"/>
      <c r="J28" s="11">
        <v>4985000</v>
      </c>
      <c r="K28" s="11"/>
      <c r="L28" s="11"/>
      <c r="M28" s="11">
        <v>4985000</v>
      </c>
      <c r="N28" s="11">
        <f t="shared" si="0"/>
        <v>0</v>
      </c>
      <c r="O28" s="11"/>
      <c r="P28" s="11"/>
      <c r="Q28" s="11">
        <v>4985000</v>
      </c>
      <c r="R28" s="11"/>
      <c r="S28" s="11"/>
      <c r="T28" s="11"/>
      <c r="U28" s="11">
        <f t="shared" si="1"/>
        <v>4985000</v>
      </c>
      <c r="V28" s="11"/>
      <c r="W28" s="11"/>
      <c r="X28" s="11"/>
      <c r="Y28" s="11"/>
      <c r="Z28" s="11"/>
      <c r="AA28" s="11"/>
      <c r="AB28" s="11"/>
      <c r="AC28" s="12">
        <f t="shared" si="2"/>
        <v>4985000</v>
      </c>
      <c r="AD28" s="4">
        <f t="shared" si="3"/>
        <v>0</v>
      </c>
      <c r="AE28" s="13"/>
    </row>
    <row r="29" spans="1:31" x14ac:dyDescent="0.45">
      <c r="A29" s="1" t="s">
        <v>103</v>
      </c>
      <c r="B29" s="13" t="s">
        <v>104</v>
      </c>
      <c r="C29" s="13"/>
      <c r="D29" s="8"/>
      <c r="E29" s="9"/>
      <c r="F29" s="5" t="s">
        <v>20</v>
      </c>
      <c r="G29" s="5"/>
      <c r="H29" s="5"/>
      <c r="I29" s="5"/>
      <c r="J29" s="11">
        <v>2000000</v>
      </c>
      <c r="K29" s="11"/>
      <c r="L29" s="11"/>
      <c r="M29" s="11">
        <v>2000000</v>
      </c>
      <c r="N29" s="11">
        <f t="shared" si="0"/>
        <v>0</v>
      </c>
      <c r="O29" s="11"/>
      <c r="P29" s="11"/>
      <c r="Q29" s="11">
        <v>2000000</v>
      </c>
      <c r="R29" s="11"/>
      <c r="S29" s="11"/>
      <c r="T29" s="11"/>
      <c r="U29" s="11">
        <f t="shared" si="1"/>
        <v>2000000</v>
      </c>
      <c r="V29" s="11"/>
      <c r="W29" s="11"/>
      <c r="X29" s="11"/>
      <c r="Y29" s="11"/>
      <c r="Z29" s="11"/>
      <c r="AA29" s="11"/>
      <c r="AB29" s="11"/>
      <c r="AC29" s="12">
        <f t="shared" si="2"/>
        <v>2000000</v>
      </c>
      <c r="AD29" s="4">
        <f t="shared" si="3"/>
        <v>0</v>
      </c>
      <c r="AE29" s="13"/>
    </row>
    <row r="30" spans="1:31" x14ac:dyDescent="0.45">
      <c r="A30" s="1" t="s">
        <v>105</v>
      </c>
      <c r="B30" s="13" t="s">
        <v>106</v>
      </c>
      <c r="C30" s="13" t="s">
        <v>42</v>
      </c>
      <c r="D30" s="8"/>
      <c r="E30" s="9"/>
      <c r="F30" s="5" t="s">
        <v>18</v>
      </c>
      <c r="G30" s="5" t="s">
        <v>19</v>
      </c>
      <c r="H30" s="5" t="s">
        <v>20</v>
      </c>
      <c r="I30" s="5" t="s">
        <v>22</v>
      </c>
      <c r="J30" s="11">
        <v>400000</v>
      </c>
      <c r="K30" s="11">
        <v>52403</v>
      </c>
      <c r="L30" s="11">
        <v>777455</v>
      </c>
      <c r="M30" s="11">
        <v>1229858</v>
      </c>
      <c r="N30" s="11">
        <f t="shared" si="0"/>
        <v>400000</v>
      </c>
      <c r="O30" s="11"/>
      <c r="P30" s="11">
        <v>400000</v>
      </c>
      <c r="Q30" s="11"/>
      <c r="R30" s="11"/>
      <c r="S30" s="11">
        <v>52403</v>
      </c>
      <c r="T30" s="11">
        <v>777455</v>
      </c>
      <c r="U30" s="11">
        <f t="shared" si="1"/>
        <v>829858</v>
      </c>
      <c r="V30" s="11"/>
      <c r="W30" s="11"/>
      <c r="X30" s="11"/>
      <c r="Y30" s="11"/>
      <c r="Z30" s="11"/>
      <c r="AA30" s="11"/>
      <c r="AB30" s="11"/>
      <c r="AC30" s="12">
        <f t="shared" si="2"/>
        <v>829858</v>
      </c>
      <c r="AD30" s="4">
        <f t="shared" si="3"/>
        <v>0</v>
      </c>
      <c r="AE30" s="13"/>
    </row>
    <row r="31" spans="1:31" ht="45" x14ac:dyDescent="0.45">
      <c r="A31" s="1" t="s">
        <v>107</v>
      </c>
      <c r="B31" s="1" t="s">
        <v>108</v>
      </c>
      <c r="C31" s="1"/>
      <c r="D31" s="15"/>
      <c r="E31" s="9"/>
      <c r="F31" s="5" t="s">
        <v>23</v>
      </c>
      <c r="G31" s="5" t="s">
        <v>28</v>
      </c>
      <c r="H31" s="5" t="s">
        <v>109</v>
      </c>
      <c r="I31" s="5" t="s">
        <v>110</v>
      </c>
      <c r="J31" s="11">
        <v>1812725</v>
      </c>
      <c r="K31" s="11">
        <v>3173102</v>
      </c>
      <c r="L31" s="11">
        <v>10703943</v>
      </c>
      <c r="M31" s="11">
        <v>15689770</v>
      </c>
      <c r="N31" s="11">
        <f t="shared" si="0"/>
        <v>0</v>
      </c>
      <c r="O31" s="11"/>
      <c r="P31" s="11"/>
      <c r="Q31" s="11"/>
      <c r="R31" s="11"/>
      <c r="S31" s="11"/>
      <c r="T31" s="11"/>
      <c r="U31" s="11">
        <f t="shared" si="1"/>
        <v>0</v>
      </c>
      <c r="V31" s="11"/>
      <c r="W31" s="11">
        <v>1812787</v>
      </c>
      <c r="X31" s="11">
        <v>1148225</v>
      </c>
      <c r="Y31" s="11"/>
      <c r="Z31" s="11"/>
      <c r="AA31" s="11"/>
      <c r="AB31" s="11"/>
      <c r="AC31" s="12">
        <f t="shared" si="2"/>
        <v>2961012</v>
      </c>
      <c r="AD31" s="4">
        <f t="shared" si="3"/>
        <v>12728758</v>
      </c>
      <c r="AE31" s="16" t="s">
        <v>44</v>
      </c>
    </row>
    <row r="32" spans="1:31" x14ac:dyDescent="0.45">
      <c r="A32" s="1" t="s">
        <v>111</v>
      </c>
      <c r="B32" s="1" t="s">
        <v>112</v>
      </c>
      <c r="C32" s="1" t="s">
        <v>42</v>
      </c>
      <c r="D32" s="15"/>
      <c r="E32" s="9"/>
      <c r="F32" s="5" t="s">
        <v>18</v>
      </c>
      <c r="G32" s="5" t="s">
        <v>20</v>
      </c>
      <c r="H32" s="5" t="s">
        <v>23</v>
      </c>
      <c r="I32" s="5" t="s">
        <v>23</v>
      </c>
      <c r="J32" s="11">
        <v>600000</v>
      </c>
      <c r="K32" s="11">
        <v>1514091</v>
      </c>
      <c r="L32" s="11">
        <v>3440028</v>
      </c>
      <c r="M32" s="11">
        <v>5554119</v>
      </c>
      <c r="N32" s="11">
        <f t="shared" si="0"/>
        <v>600000</v>
      </c>
      <c r="O32" s="11"/>
      <c r="P32" s="11">
        <v>600000</v>
      </c>
      <c r="Q32" s="11"/>
      <c r="R32" s="11"/>
      <c r="S32" s="11"/>
      <c r="T32" s="11">
        <v>1514091</v>
      </c>
      <c r="U32" s="11">
        <f t="shared" si="1"/>
        <v>1514091</v>
      </c>
      <c r="V32" s="11"/>
      <c r="W32" s="11">
        <v>3440028</v>
      </c>
      <c r="X32" s="11"/>
      <c r="Y32" s="11"/>
      <c r="Z32" s="11"/>
      <c r="AA32" s="11"/>
      <c r="AB32" s="11"/>
      <c r="AC32" s="12">
        <f t="shared" si="2"/>
        <v>4954119</v>
      </c>
      <c r="AD32" s="4">
        <f t="shared" si="3"/>
        <v>0</v>
      </c>
      <c r="AE32" s="13"/>
    </row>
    <row r="33" spans="1:31" ht="45" x14ac:dyDescent="0.45">
      <c r="A33" s="1" t="s">
        <v>113</v>
      </c>
      <c r="B33" s="1" t="s">
        <v>114</v>
      </c>
      <c r="C33" s="1"/>
      <c r="D33" s="18" t="s">
        <v>115</v>
      </c>
      <c r="E33" s="9"/>
      <c r="F33" s="5" t="s">
        <v>23</v>
      </c>
      <c r="G33" s="5" t="s">
        <v>23</v>
      </c>
      <c r="H33" s="5" t="s">
        <v>24</v>
      </c>
      <c r="I33" s="5" t="s">
        <v>26</v>
      </c>
      <c r="J33" s="11">
        <v>1012602</v>
      </c>
      <c r="K33" s="11">
        <v>2834090</v>
      </c>
      <c r="L33" s="11">
        <v>20019799</v>
      </c>
      <c r="M33" s="11">
        <v>23866491</v>
      </c>
      <c r="N33" s="11">
        <f t="shared" si="0"/>
        <v>1000000</v>
      </c>
      <c r="O33" s="11">
        <v>1000000</v>
      </c>
      <c r="P33" s="11"/>
      <c r="Q33" s="11"/>
      <c r="R33" s="11"/>
      <c r="S33" s="11"/>
      <c r="T33" s="11"/>
      <c r="U33" s="11">
        <f t="shared" si="1"/>
        <v>0</v>
      </c>
      <c r="V33" s="11"/>
      <c r="W33" s="11">
        <v>993093</v>
      </c>
      <c r="X33" s="11">
        <v>2620765</v>
      </c>
      <c r="Y33" s="11">
        <v>3553677</v>
      </c>
      <c r="Z33" s="11">
        <v>4558767</v>
      </c>
      <c r="AA33" s="11"/>
      <c r="AB33" s="11"/>
      <c r="AC33" s="12">
        <f t="shared" si="2"/>
        <v>11726302</v>
      </c>
      <c r="AD33" s="4">
        <f t="shared" si="3"/>
        <v>11140189</v>
      </c>
      <c r="AE33" s="16" t="s">
        <v>44</v>
      </c>
    </row>
    <row r="34" spans="1:31" x14ac:dyDescent="0.45">
      <c r="A34" s="1" t="s">
        <v>116</v>
      </c>
      <c r="B34" s="1" t="s">
        <v>117</v>
      </c>
      <c r="C34" s="1" t="s">
        <v>42</v>
      </c>
      <c r="D34" s="15"/>
      <c r="E34" s="9"/>
      <c r="F34" s="5" t="s">
        <v>20</v>
      </c>
      <c r="G34" s="5" t="s">
        <v>22</v>
      </c>
      <c r="H34" s="5" t="s">
        <v>24</v>
      </c>
      <c r="I34" s="5" t="s">
        <v>25</v>
      </c>
      <c r="J34" s="11">
        <v>700000</v>
      </c>
      <c r="K34" s="11">
        <v>905000</v>
      </c>
      <c r="L34" s="11">
        <v>2919642</v>
      </c>
      <c r="M34" s="11">
        <v>4524642</v>
      </c>
      <c r="N34" s="11">
        <f t="shared" si="0"/>
        <v>0</v>
      </c>
      <c r="O34" s="11"/>
      <c r="P34" s="11"/>
      <c r="Q34" s="11"/>
      <c r="R34" s="11"/>
      <c r="S34" s="11">
        <v>700000</v>
      </c>
      <c r="T34" s="11">
        <v>905000</v>
      </c>
      <c r="U34" s="11">
        <f t="shared" si="1"/>
        <v>1605000</v>
      </c>
      <c r="V34" s="11"/>
      <c r="W34" s="11">
        <v>2919642</v>
      </c>
      <c r="X34" s="11"/>
      <c r="Y34" s="11"/>
      <c r="Z34" s="11"/>
      <c r="AA34" s="11"/>
      <c r="AB34" s="11"/>
      <c r="AC34" s="12">
        <f t="shared" si="2"/>
        <v>4524642</v>
      </c>
      <c r="AD34" s="4">
        <f t="shared" si="3"/>
        <v>0</v>
      </c>
      <c r="AE34" s="13"/>
    </row>
    <row r="35" spans="1:31" x14ac:dyDescent="0.45">
      <c r="A35" s="1" t="s">
        <v>118</v>
      </c>
      <c r="B35" s="1" t="s">
        <v>119</v>
      </c>
      <c r="C35" s="1"/>
      <c r="D35" s="15"/>
      <c r="E35" s="9"/>
      <c r="F35" s="5" t="s">
        <v>20</v>
      </c>
      <c r="G35" s="5" t="s">
        <v>24</v>
      </c>
      <c r="H35" s="5" t="s">
        <v>26</v>
      </c>
      <c r="I35" s="5" t="s">
        <v>27</v>
      </c>
      <c r="J35" s="11">
        <v>2864430</v>
      </c>
      <c r="K35" s="11">
        <v>1811551</v>
      </c>
      <c r="L35" s="11">
        <v>21323989</v>
      </c>
      <c r="M35" s="11">
        <v>25999970</v>
      </c>
      <c r="N35" s="11">
        <f t="shared" si="0"/>
        <v>22769970</v>
      </c>
      <c r="O35" s="11">
        <v>22769970</v>
      </c>
      <c r="P35" s="11"/>
      <c r="Q35" s="11"/>
      <c r="R35" s="11"/>
      <c r="S35" s="11">
        <v>3038850</v>
      </c>
      <c r="T35" s="1"/>
      <c r="U35" s="11">
        <f t="shared" si="1"/>
        <v>3038850</v>
      </c>
      <c r="V35" s="11"/>
      <c r="W35" s="11"/>
      <c r="X35" s="11">
        <v>191150</v>
      </c>
      <c r="Y35" s="11"/>
      <c r="Z35" s="11"/>
      <c r="AA35" s="11"/>
      <c r="AB35" s="11"/>
      <c r="AC35" s="12">
        <f t="shared" si="2"/>
        <v>3230000</v>
      </c>
      <c r="AD35" s="4">
        <f t="shared" si="3"/>
        <v>0</v>
      </c>
      <c r="AE35" s="13"/>
    </row>
    <row r="36" spans="1:31" ht="60" x14ac:dyDescent="0.45">
      <c r="A36" s="1" t="s">
        <v>120</v>
      </c>
      <c r="B36" s="1" t="s">
        <v>121</v>
      </c>
      <c r="C36" s="1"/>
      <c r="D36" s="15"/>
      <c r="E36" s="9"/>
      <c r="F36" s="5" t="s">
        <v>23</v>
      </c>
      <c r="G36" s="5" t="s">
        <v>26</v>
      </c>
      <c r="H36" s="5" t="s">
        <v>28</v>
      </c>
      <c r="I36" s="5" t="s">
        <v>109</v>
      </c>
      <c r="J36" s="11">
        <v>3791955</v>
      </c>
      <c r="K36" s="11">
        <v>1199725</v>
      </c>
      <c r="L36" s="11">
        <v>50440357</v>
      </c>
      <c r="M36" s="11">
        <v>55432037</v>
      </c>
      <c r="N36" s="11">
        <f t="shared" si="0"/>
        <v>0</v>
      </c>
      <c r="O36" s="11"/>
      <c r="P36" s="11"/>
      <c r="Q36" s="11"/>
      <c r="R36" s="11"/>
      <c r="S36" s="11">
        <v>750000</v>
      </c>
      <c r="T36" s="1"/>
      <c r="U36" s="11">
        <f t="shared" si="1"/>
        <v>750000</v>
      </c>
      <c r="V36" s="11"/>
      <c r="W36" s="11">
        <v>1521043</v>
      </c>
      <c r="X36" s="11">
        <v>1521043</v>
      </c>
      <c r="Y36" s="11"/>
      <c r="Z36" s="11">
        <v>1199748</v>
      </c>
      <c r="AA36" s="11">
        <v>14422133</v>
      </c>
      <c r="AB36" s="11"/>
      <c r="AC36" s="12">
        <f t="shared" si="2"/>
        <v>19413967</v>
      </c>
      <c r="AD36" s="4">
        <f t="shared" si="3"/>
        <v>36018070</v>
      </c>
      <c r="AE36" s="16" t="s">
        <v>122</v>
      </c>
    </row>
    <row r="37" spans="1:31" x14ac:dyDescent="0.45">
      <c r="A37" s="1" t="s">
        <v>123</v>
      </c>
      <c r="B37" s="1" t="s">
        <v>124</v>
      </c>
      <c r="C37" s="1"/>
      <c r="D37" s="15"/>
      <c r="E37" s="9"/>
      <c r="F37" s="5" t="s">
        <v>18</v>
      </c>
      <c r="G37" s="5" t="s">
        <v>19</v>
      </c>
      <c r="H37" s="5" t="s">
        <v>20</v>
      </c>
      <c r="I37" s="5" t="s">
        <v>23</v>
      </c>
      <c r="J37" s="11">
        <v>2010000</v>
      </c>
      <c r="K37" s="11">
        <v>1346000</v>
      </c>
      <c r="L37" s="11">
        <v>15216000</v>
      </c>
      <c r="M37" s="11">
        <v>18572000</v>
      </c>
      <c r="N37" s="11">
        <f t="shared" si="0"/>
        <v>0</v>
      </c>
      <c r="O37" s="11"/>
      <c r="P37" s="11"/>
      <c r="Q37" s="11"/>
      <c r="R37" s="11">
        <v>2010000</v>
      </c>
      <c r="S37" s="11">
        <v>1346000</v>
      </c>
      <c r="T37" s="11">
        <v>6086400</v>
      </c>
      <c r="U37" s="11">
        <f t="shared" si="1"/>
        <v>9442400</v>
      </c>
      <c r="V37" s="11">
        <v>6086400</v>
      </c>
      <c r="W37" s="11">
        <v>3043200</v>
      </c>
      <c r="X37" s="11"/>
      <c r="Y37" s="11"/>
      <c r="Z37" s="11"/>
      <c r="AA37" s="11"/>
      <c r="AB37" s="11"/>
      <c r="AC37" s="12">
        <f t="shared" si="2"/>
        <v>18572000</v>
      </c>
      <c r="AD37" s="4">
        <f t="shared" si="3"/>
        <v>0</v>
      </c>
      <c r="AE37" s="13"/>
    </row>
    <row r="38" spans="1:31" ht="30" x14ac:dyDescent="0.45">
      <c r="A38" s="1" t="s">
        <v>125</v>
      </c>
      <c r="B38" s="13" t="s">
        <v>126</v>
      </c>
      <c r="C38" s="1"/>
      <c r="D38" s="15"/>
      <c r="E38" s="9"/>
      <c r="F38" s="5" t="s">
        <v>20</v>
      </c>
      <c r="G38" s="5" t="s">
        <v>24</v>
      </c>
      <c r="H38" s="5" t="s">
        <v>26</v>
      </c>
      <c r="I38" s="5" t="s">
        <v>27</v>
      </c>
      <c r="J38" s="11">
        <v>2244280</v>
      </c>
      <c r="K38" s="11">
        <v>3928349</v>
      </c>
      <c r="L38" s="11">
        <v>17680107</v>
      </c>
      <c r="M38" s="11">
        <v>23852736</v>
      </c>
      <c r="N38" s="11">
        <f t="shared" si="0"/>
        <v>15052736</v>
      </c>
      <c r="O38" s="11">
        <v>15052736</v>
      </c>
      <c r="P38" s="11"/>
      <c r="Q38" s="11"/>
      <c r="R38" s="11"/>
      <c r="S38" s="11">
        <v>2380938</v>
      </c>
      <c r="T38" s="1"/>
      <c r="U38" s="11">
        <f t="shared" si="1"/>
        <v>2380938</v>
      </c>
      <c r="V38" s="11"/>
      <c r="W38" s="11">
        <v>2547668</v>
      </c>
      <c r="X38" s="11">
        <v>3871394</v>
      </c>
      <c r="Y38" s="11"/>
      <c r="Z38" s="11"/>
      <c r="AA38" s="11"/>
      <c r="AB38" s="11"/>
      <c r="AC38" s="12">
        <f t="shared" si="2"/>
        <v>8800000</v>
      </c>
      <c r="AD38" s="4">
        <f t="shared" si="3"/>
        <v>0</v>
      </c>
      <c r="AE38" s="13"/>
    </row>
    <row r="39" spans="1:31" x14ac:dyDescent="0.45">
      <c r="A39" s="1" t="s">
        <v>127</v>
      </c>
      <c r="B39" s="1" t="s">
        <v>128</v>
      </c>
      <c r="C39" s="1"/>
      <c r="D39" s="15"/>
      <c r="E39" s="9"/>
      <c r="F39" s="5" t="s">
        <v>19</v>
      </c>
      <c r="G39" s="5" t="s">
        <v>20</v>
      </c>
      <c r="H39" s="5" t="s">
        <v>22</v>
      </c>
      <c r="I39" s="5" t="s">
        <v>24</v>
      </c>
      <c r="J39" s="11">
        <v>1305000</v>
      </c>
      <c r="K39" s="11">
        <v>1799000</v>
      </c>
      <c r="L39" s="11">
        <v>7312000</v>
      </c>
      <c r="M39" s="11">
        <v>10416000</v>
      </c>
      <c r="N39" s="11">
        <f t="shared" si="0"/>
        <v>0</v>
      </c>
      <c r="O39" s="11"/>
      <c r="P39" s="11"/>
      <c r="Q39" s="11"/>
      <c r="R39" s="11"/>
      <c r="S39" s="11">
        <v>1305000</v>
      </c>
      <c r="T39" s="11">
        <v>1799000</v>
      </c>
      <c r="U39" s="11">
        <f t="shared" si="1"/>
        <v>3104000</v>
      </c>
      <c r="V39" s="11">
        <v>2508672</v>
      </c>
      <c r="W39" s="11">
        <v>2924800</v>
      </c>
      <c r="X39" s="11">
        <v>1878528</v>
      </c>
      <c r="Y39" s="11"/>
      <c r="Z39" s="11"/>
      <c r="AA39" s="11"/>
      <c r="AB39" s="11"/>
      <c r="AC39" s="12">
        <f t="shared" si="2"/>
        <v>10416000</v>
      </c>
      <c r="AD39" s="4">
        <f t="shared" si="3"/>
        <v>0</v>
      </c>
      <c r="AE39" s="13"/>
    </row>
    <row r="40" spans="1:31" x14ac:dyDescent="0.45">
      <c r="A40" s="1" t="s">
        <v>129</v>
      </c>
      <c r="B40" s="1" t="s">
        <v>130</v>
      </c>
      <c r="C40" s="1"/>
      <c r="D40" s="15" t="s">
        <v>131</v>
      </c>
      <c r="E40" s="9"/>
      <c r="F40" s="5" t="s">
        <v>132</v>
      </c>
      <c r="G40" s="5" t="s">
        <v>19</v>
      </c>
      <c r="H40" s="5" t="s">
        <v>20</v>
      </c>
      <c r="I40" s="5" t="s">
        <v>24</v>
      </c>
      <c r="J40" s="11">
        <v>5000000</v>
      </c>
      <c r="K40" s="11">
        <v>1000000</v>
      </c>
      <c r="L40" s="11">
        <v>48252500</v>
      </c>
      <c r="M40" s="11">
        <v>54252500</v>
      </c>
      <c r="N40" s="11">
        <f t="shared" si="0"/>
        <v>16674334</v>
      </c>
      <c r="O40" s="11">
        <v>16674334</v>
      </c>
      <c r="P40" s="11"/>
      <c r="Q40" s="11"/>
      <c r="R40" s="11">
        <v>19578166</v>
      </c>
      <c r="S40" s="11">
        <v>18000000</v>
      </c>
      <c r="T40" s="11"/>
      <c r="U40" s="11">
        <f t="shared" si="1"/>
        <v>37578166</v>
      </c>
      <c r="V40" s="11"/>
      <c r="W40" s="11"/>
      <c r="X40" s="11"/>
      <c r="Y40" s="11"/>
      <c r="Z40" s="11"/>
      <c r="AA40" s="11"/>
      <c r="AB40" s="11"/>
      <c r="AC40" s="12">
        <f t="shared" si="2"/>
        <v>37578166</v>
      </c>
      <c r="AD40" s="4">
        <f t="shared" si="3"/>
        <v>0</v>
      </c>
      <c r="AE40" s="13"/>
    </row>
    <row r="41" spans="1:31" x14ac:dyDescent="0.45">
      <c r="A41" s="1" t="s">
        <v>133</v>
      </c>
      <c r="B41" s="1" t="s">
        <v>134</v>
      </c>
      <c r="C41" s="1"/>
      <c r="D41" s="15"/>
      <c r="E41" s="9"/>
      <c r="F41" s="5" t="s">
        <v>20</v>
      </c>
      <c r="G41" s="5" t="s">
        <v>24</v>
      </c>
      <c r="H41" s="5" t="s">
        <v>27</v>
      </c>
      <c r="I41" s="5" t="s">
        <v>28</v>
      </c>
      <c r="J41" s="11">
        <v>2708959</v>
      </c>
      <c r="K41" s="11">
        <v>4522323</v>
      </c>
      <c r="L41" s="11">
        <v>24904137</v>
      </c>
      <c r="M41" s="11">
        <v>32135419</v>
      </c>
      <c r="N41" s="11">
        <f t="shared" si="0"/>
        <v>26465419</v>
      </c>
      <c r="O41" s="11">
        <v>26465419</v>
      </c>
      <c r="P41" s="11"/>
      <c r="Q41" s="11"/>
      <c r="R41" s="11"/>
      <c r="S41" s="11">
        <v>4331401</v>
      </c>
      <c r="T41" s="1"/>
      <c r="U41" s="11">
        <f t="shared" si="1"/>
        <v>4331401</v>
      </c>
      <c r="V41" s="11"/>
      <c r="W41" s="11"/>
      <c r="X41" s="11">
        <v>1338599</v>
      </c>
      <c r="Y41" s="11"/>
      <c r="Z41" s="11"/>
      <c r="AA41" s="11"/>
      <c r="AB41" s="11"/>
      <c r="AC41" s="12">
        <f t="shared" si="2"/>
        <v>5670000</v>
      </c>
      <c r="AD41" s="4">
        <f t="shared" si="3"/>
        <v>0</v>
      </c>
      <c r="AE41" s="13"/>
    </row>
    <row r="42" spans="1:31" x14ac:dyDescent="0.45">
      <c r="A42" s="1" t="s">
        <v>135</v>
      </c>
      <c r="B42" s="1" t="s">
        <v>136</v>
      </c>
      <c r="C42" s="1"/>
      <c r="D42" s="15"/>
      <c r="E42" s="9"/>
      <c r="F42" s="5" t="s">
        <v>19</v>
      </c>
      <c r="G42" s="5" t="s">
        <v>20</v>
      </c>
      <c r="H42" s="5" t="s">
        <v>23</v>
      </c>
      <c r="I42" s="5" t="s">
        <v>24</v>
      </c>
      <c r="J42" s="11">
        <v>3270000</v>
      </c>
      <c r="K42" s="11">
        <v>18795570</v>
      </c>
      <c r="L42" s="11">
        <v>40503738</v>
      </c>
      <c r="M42" s="11">
        <v>62569308</v>
      </c>
      <c r="N42" s="11">
        <f t="shared" si="0"/>
        <v>0</v>
      </c>
      <c r="O42" s="11"/>
      <c r="P42" s="11"/>
      <c r="Q42" s="11"/>
      <c r="R42" s="11"/>
      <c r="S42" s="11">
        <v>3270000</v>
      </c>
      <c r="T42" s="11">
        <v>9397785</v>
      </c>
      <c r="U42" s="11">
        <f t="shared" si="1"/>
        <v>12667785</v>
      </c>
      <c r="V42" s="11">
        <v>6102121</v>
      </c>
      <c r="W42" s="11">
        <v>9078094</v>
      </c>
      <c r="X42" s="11"/>
      <c r="Y42" s="11"/>
      <c r="Z42" s="11"/>
      <c r="AA42" s="11"/>
      <c r="AB42" s="11"/>
      <c r="AC42" s="12">
        <f t="shared" si="2"/>
        <v>27848000</v>
      </c>
      <c r="AD42" s="4">
        <f t="shared" si="3"/>
        <v>34721308</v>
      </c>
      <c r="AE42" s="16"/>
    </row>
    <row r="43" spans="1:31" ht="45" x14ac:dyDescent="0.45">
      <c r="A43" s="1" t="s">
        <v>137</v>
      </c>
      <c r="B43" s="1" t="s">
        <v>138</v>
      </c>
      <c r="C43" s="1" t="s">
        <v>34</v>
      </c>
      <c r="D43" s="15"/>
      <c r="E43" s="9"/>
      <c r="F43" s="5" t="s">
        <v>23</v>
      </c>
      <c r="G43" s="5" t="s">
        <v>26</v>
      </c>
      <c r="H43" s="5" t="s">
        <v>28</v>
      </c>
      <c r="I43" s="5" t="s">
        <v>109</v>
      </c>
      <c r="J43" s="11">
        <v>5949035</v>
      </c>
      <c r="K43" s="11">
        <v>614164</v>
      </c>
      <c r="L43" s="11">
        <v>55177426</v>
      </c>
      <c r="M43" s="11">
        <v>61740625</v>
      </c>
      <c r="N43" s="11">
        <f t="shared" si="0"/>
        <v>0</v>
      </c>
      <c r="O43" s="11"/>
      <c r="P43" s="11"/>
      <c r="Q43" s="11"/>
      <c r="R43" s="11"/>
      <c r="S43" s="11"/>
      <c r="T43" s="1"/>
      <c r="U43" s="11">
        <f t="shared" si="1"/>
        <v>0</v>
      </c>
      <c r="V43" s="11"/>
      <c r="W43" s="11">
        <v>3662106</v>
      </c>
      <c r="X43" s="11">
        <v>1300000</v>
      </c>
      <c r="Y43" s="11"/>
      <c r="Z43" s="11"/>
      <c r="AA43" s="11"/>
      <c r="AB43" s="11"/>
      <c r="AC43" s="12">
        <f t="shared" si="2"/>
        <v>4962106</v>
      </c>
      <c r="AD43" s="4">
        <f t="shared" si="3"/>
        <v>56778519</v>
      </c>
      <c r="AE43" s="16" t="s">
        <v>44</v>
      </c>
    </row>
    <row r="44" spans="1:31" ht="60" x14ac:dyDescent="0.45">
      <c r="A44" s="1" t="s">
        <v>139</v>
      </c>
      <c r="B44" s="1" t="s">
        <v>140</v>
      </c>
      <c r="C44" s="1"/>
      <c r="D44" s="15"/>
      <c r="E44" s="9"/>
      <c r="F44" s="5" t="s">
        <v>23</v>
      </c>
      <c r="G44" s="5" t="s">
        <v>26</v>
      </c>
      <c r="H44" s="5" t="s">
        <v>43</v>
      </c>
      <c r="I44" s="5" t="s">
        <v>109</v>
      </c>
      <c r="J44" s="11">
        <v>3492669</v>
      </c>
      <c r="K44" s="11">
        <v>8235557</v>
      </c>
      <c r="L44" s="11">
        <v>28374998</v>
      </c>
      <c r="M44" s="11">
        <v>40103224</v>
      </c>
      <c r="N44" s="11">
        <f t="shared" si="0"/>
        <v>0</v>
      </c>
      <c r="O44" s="11"/>
      <c r="P44" s="11"/>
      <c r="Q44" s="11"/>
      <c r="R44" s="11"/>
      <c r="S44" s="11">
        <v>750000</v>
      </c>
      <c r="T44" s="1"/>
      <c r="U44" s="11">
        <f t="shared" si="1"/>
        <v>750000</v>
      </c>
      <c r="V44" s="11"/>
      <c r="W44" s="11">
        <v>1134765</v>
      </c>
      <c r="X44" s="19">
        <v>1134765</v>
      </c>
      <c r="Y44" s="11">
        <v>9500000</v>
      </c>
      <c r="Z44" s="11">
        <v>10281546</v>
      </c>
      <c r="AA44" s="11">
        <v>10750000</v>
      </c>
      <c r="AB44" s="11"/>
      <c r="AC44" s="12">
        <f t="shared" si="2"/>
        <v>33551076</v>
      </c>
      <c r="AD44" s="4">
        <f t="shared" si="3"/>
        <v>6552148</v>
      </c>
      <c r="AE44" s="16" t="s">
        <v>122</v>
      </c>
    </row>
    <row r="45" spans="1:31" ht="45" x14ac:dyDescent="0.45">
      <c r="A45" s="1" t="s">
        <v>141</v>
      </c>
      <c r="B45" s="1" t="s">
        <v>142</v>
      </c>
      <c r="C45" s="1" t="s">
        <v>34</v>
      </c>
      <c r="D45" s="15"/>
      <c r="E45" s="9"/>
      <c r="F45" s="5" t="s">
        <v>23</v>
      </c>
      <c r="G45" s="5" t="s">
        <v>23</v>
      </c>
      <c r="H45" s="5" t="s">
        <v>25</v>
      </c>
      <c r="I45" s="5" t="s">
        <v>43</v>
      </c>
      <c r="J45" s="11">
        <v>2868981</v>
      </c>
      <c r="K45" s="11">
        <v>6875077</v>
      </c>
      <c r="L45" s="11">
        <v>37458815</v>
      </c>
      <c r="M45" s="11">
        <v>47202873</v>
      </c>
      <c r="N45" s="11">
        <f t="shared" si="0"/>
        <v>3568571</v>
      </c>
      <c r="O45" s="11"/>
      <c r="P45" s="11">
        <v>3568571</v>
      </c>
      <c r="Q45" s="11"/>
      <c r="R45" s="11"/>
      <c r="S45" s="11"/>
      <c r="T45" s="11"/>
      <c r="U45" s="11">
        <f t="shared" si="1"/>
        <v>0</v>
      </c>
      <c r="V45" s="11"/>
      <c r="W45" s="11">
        <v>2673865</v>
      </c>
      <c r="X45" s="11">
        <v>2673865</v>
      </c>
      <c r="Y45" s="11"/>
      <c r="Z45" s="11"/>
      <c r="AA45" s="11"/>
      <c r="AB45" s="11"/>
      <c r="AC45" s="12">
        <f t="shared" si="2"/>
        <v>5347730</v>
      </c>
      <c r="AD45" s="4">
        <f t="shared" si="3"/>
        <v>38286572</v>
      </c>
      <c r="AE45" s="16" t="s">
        <v>44</v>
      </c>
    </row>
    <row r="46" spans="1:31" ht="45" x14ac:dyDescent="0.45">
      <c r="A46" s="1" t="s">
        <v>143</v>
      </c>
      <c r="B46" s="1" t="s">
        <v>144</v>
      </c>
      <c r="C46" s="1"/>
      <c r="D46" s="15"/>
      <c r="E46" s="9"/>
      <c r="F46" s="5" t="s">
        <v>23</v>
      </c>
      <c r="G46" s="5" t="s">
        <v>26</v>
      </c>
      <c r="H46" s="5" t="s">
        <v>43</v>
      </c>
      <c r="I46" s="5" t="s">
        <v>109</v>
      </c>
      <c r="J46" s="11">
        <v>3753086</v>
      </c>
      <c r="K46" s="11">
        <v>10187873</v>
      </c>
      <c r="L46" s="11">
        <v>32307254</v>
      </c>
      <c r="M46" s="11">
        <v>46248213</v>
      </c>
      <c r="N46" s="11">
        <f t="shared" si="0"/>
        <v>0</v>
      </c>
      <c r="O46" s="11"/>
      <c r="P46" s="11"/>
      <c r="Q46" s="11"/>
      <c r="R46" s="11"/>
      <c r="S46" s="11"/>
      <c r="T46" s="11"/>
      <c r="U46" s="11">
        <f t="shared" si="1"/>
        <v>0</v>
      </c>
      <c r="V46" s="11"/>
      <c r="W46" s="11">
        <v>2917877</v>
      </c>
      <c r="X46" s="11"/>
      <c r="Y46" s="11"/>
      <c r="Z46" s="11">
        <v>11547247</v>
      </c>
      <c r="AA46" s="11">
        <v>2211496</v>
      </c>
      <c r="AB46" s="11"/>
      <c r="AC46" s="12">
        <f t="shared" si="2"/>
        <v>16676620</v>
      </c>
      <c r="AD46" s="4">
        <f t="shared" si="3"/>
        <v>29571593</v>
      </c>
      <c r="AE46" s="16" t="s">
        <v>44</v>
      </c>
    </row>
    <row r="47" spans="1:31" x14ac:dyDescent="0.45">
      <c r="A47" s="1" t="s">
        <v>145</v>
      </c>
      <c r="B47" s="1" t="s">
        <v>146</v>
      </c>
      <c r="C47" s="1" t="s">
        <v>34</v>
      </c>
      <c r="D47" s="15"/>
      <c r="E47" s="9"/>
      <c r="F47" s="5" t="s">
        <v>19</v>
      </c>
      <c r="G47" s="5"/>
      <c r="H47" s="5" t="s">
        <v>22</v>
      </c>
      <c r="I47" s="5"/>
      <c r="J47" s="11"/>
      <c r="K47" s="11"/>
      <c r="L47" s="11"/>
      <c r="M47" s="11">
        <v>522127470</v>
      </c>
      <c r="N47" s="11">
        <f t="shared" si="0"/>
        <v>422127470</v>
      </c>
      <c r="O47" s="11">
        <v>422127470</v>
      </c>
      <c r="P47" s="11">
        <v>0</v>
      </c>
      <c r="Q47" s="11"/>
      <c r="R47" s="11">
        <v>16245833</v>
      </c>
      <c r="S47" s="11">
        <v>11237395</v>
      </c>
      <c r="T47" s="11">
        <v>25664649</v>
      </c>
      <c r="U47" s="11">
        <f t="shared" si="1"/>
        <v>53147877</v>
      </c>
      <c r="V47" s="11">
        <v>28342043</v>
      </c>
      <c r="W47" s="11">
        <v>18510080</v>
      </c>
      <c r="X47" s="11"/>
      <c r="Y47" s="11"/>
      <c r="Z47" s="11"/>
      <c r="AA47" s="11"/>
      <c r="AB47" s="11"/>
      <c r="AC47" s="12">
        <f t="shared" si="2"/>
        <v>100000000</v>
      </c>
      <c r="AD47" s="4">
        <f t="shared" si="3"/>
        <v>0</v>
      </c>
      <c r="AE47" s="13"/>
    </row>
    <row r="48" spans="1:31" x14ac:dyDescent="0.45">
      <c r="A48" s="1" t="s">
        <v>147</v>
      </c>
      <c r="B48" s="1" t="s">
        <v>148</v>
      </c>
      <c r="C48" s="1" t="s">
        <v>42</v>
      </c>
      <c r="D48" s="20">
        <v>-27853</v>
      </c>
      <c r="E48" s="9"/>
      <c r="F48" s="5" t="s">
        <v>23</v>
      </c>
      <c r="G48" s="5" t="s">
        <v>26</v>
      </c>
      <c r="H48" s="5" t="s">
        <v>28</v>
      </c>
      <c r="I48" s="5" t="s">
        <v>43</v>
      </c>
      <c r="J48" s="11">
        <f>ROUND(INDEX([1]Estimates!B:B,MATCH(Allocations!B48,[1]Estimates!A:A,0))*INDEX([1]Inflation!C:C,MATCH(_xlfn.NUMBERVALUE(_xlfn.CONCAT("20",RIGHT(Allocations!F48,2))),[1]Inflation!A:A,0))/100,0)</f>
        <v>1520238</v>
      </c>
      <c r="K48" s="11">
        <f>ROUND(INDEX([1]Estimates!C:C,MATCH(Allocations!B48,[1]Estimates!A:A,0))*INDEX([1]Inflation!C:C,MATCH(_xlfn.NUMBERVALUE(_xlfn.CONCAT("20",RIGHT(Allocations!G48,2))),[1]Inflation!A:A,0))/100,0)</f>
        <v>835393</v>
      </c>
      <c r="L48" s="11">
        <f>ROUND(INDEX([1]Estimates!D:D,MATCH(Allocations!B48,[1]Estimates!A:A,0))*INDEX([1]Inflation!C:C,MATCH(_xlfn.NUMBERVALUE(_xlfn.CONCAT("20",RIGHT(Allocations!H48,2))),[1]Inflation!A:A,0))/100,0)</f>
        <v>9197461</v>
      </c>
      <c r="M48" s="11">
        <f>SUM(J48:L48)</f>
        <v>11553092</v>
      </c>
      <c r="N48" s="11">
        <f t="shared" si="0"/>
        <v>8027213</v>
      </c>
      <c r="O48" s="11">
        <v>8027213</v>
      </c>
      <c r="P48" s="11">
        <v>0</v>
      </c>
      <c r="Q48" s="11"/>
      <c r="R48" s="11"/>
      <c r="S48" s="11"/>
      <c r="T48" s="11"/>
      <c r="U48" s="11">
        <f t="shared" si="1"/>
        <v>0</v>
      </c>
      <c r="V48" s="11"/>
      <c r="W48" s="11"/>
      <c r="X48" s="11"/>
      <c r="Y48" s="11"/>
      <c r="Z48" s="11"/>
      <c r="AA48" s="11"/>
      <c r="AB48" s="11">
        <v>3152729</v>
      </c>
      <c r="AC48" s="12">
        <f t="shared" si="2"/>
        <v>3152729</v>
      </c>
      <c r="AD48" s="4">
        <f>M48-N48-AC48</f>
        <v>373150</v>
      </c>
      <c r="AE48" s="13"/>
    </row>
    <row r="49" spans="1:31" x14ac:dyDescent="0.45">
      <c r="A49" s="1" t="s">
        <v>149</v>
      </c>
      <c r="B49" s="1" t="s">
        <v>150</v>
      </c>
      <c r="C49" s="1" t="s">
        <v>42</v>
      </c>
      <c r="D49" s="20">
        <v>119598</v>
      </c>
      <c r="E49" s="9"/>
      <c r="F49" s="5" t="s">
        <v>20</v>
      </c>
      <c r="G49" s="5" t="s">
        <v>22</v>
      </c>
      <c r="H49" s="5" t="s">
        <v>24</v>
      </c>
      <c r="I49" s="5" t="s">
        <v>26</v>
      </c>
      <c r="J49" s="11">
        <f>ROUND(INDEX([1]Estimates!B:B,MATCH(Allocations!B49,[1]Estimates!A:A,0))*INDEX([1]Inflation!C:C,MATCH(_xlfn.NUMBERVALUE(_xlfn.CONCAT("20",RIGHT(Allocations!F49,2))),[1]Inflation!A:A,0))/100,0)</f>
        <v>3223800</v>
      </c>
      <c r="K49" s="11">
        <f>ROUND(INDEX([1]Estimates!C:C,MATCH(Allocations!B49,[1]Estimates!A:A,0))*INDEX([1]Inflation!C:C,MATCH(_xlfn.NUMBERVALUE(_xlfn.CONCAT("20",RIGHT(Allocations!G49,2))),[1]Inflation!A:A,0))/100,0)</f>
        <v>1979775</v>
      </c>
      <c r="L49" s="11">
        <f>ROUND(INDEX([1]Estimates!D:D,MATCH(Allocations!B49,[1]Estimates!A:A,0))*INDEX([1]Inflation!C:C,MATCH(_xlfn.NUMBERVALUE(_xlfn.CONCAT("20",RIGHT(Allocations!H49,2))),[1]Inflation!A:A,0))/100,0)</f>
        <v>34221316</v>
      </c>
      <c r="M49" s="11">
        <f>SUM(J49:L49)</f>
        <v>39424891</v>
      </c>
      <c r="N49" s="11">
        <f t="shared" si="0"/>
        <v>16171265</v>
      </c>
      <c r="O49" s="11">
        <v>16171265</v>
      </c>
      <c r="P49" s="11">
        <v>0</v>
      </c>
      <c r="Q49" s="11"/>
      <c r="R49" s="11"/>
      <c r="S49" s="11"/>
      <c r="T49" s="11"/>
      <c r="U49" s="11">
        <f t="shared" si="1"/>
        <v>0</v>
      </c>
      <c r="V49" s="11"/>
      <c r="W49" s="11"/>
      <c r="X49" s="11"/>
      <c r="Y49" s="11"/>
      <c r="Z49" s="11">
        <v>5000000</v>
      </c>
      <c r="AA49" s="11"/>
      <c r="AB49" s="11"/>
      <c r="AC49" s="12">
        <f t="shared" si="2"/>
        <v>5000000</v>
      </c>
      <c r="AD49" s="4">
        <f t="shared" si="3"/>
        <v>18253626</v>
      </c>
      <c r="AE49" s="13"/>
    </row>
    <row r="50" spans="1:31" x14ac:dyDescent="0.45">
      <c r="A50" s="1" t="s">
        <v>151</v>
      </c>
      <c r="B50" s="1" t="s">
        <v>152</v>
      </c>
      <c r="C50" s="1" t="s">
        <v>42</v>
      </c>
      <c r="D50" s="20">
        <v>-28381</v>
      </c>
      <c r="E50" s="9"/>
      <c r="F50" s="5" t="s">
        <v>23</v>
      </c>
      <c r="G50" s="5" t="s">
        <v>24</v>
      </c>
      <c r="H50" s="5" t="s">
        <v>25</v>
      </c>
      <c r="I50" s="5" t="s">
        <v>27</v>
      </c>
      <c r="J50" s="11">
        <f>ROUND(INDEX([1]Estimates!B:B,MATCH(Allocations!B50,[1]Estimates!A:A,0))*INDEX([1]Inflation!C:C,MATCH(_xlfn.NUMBERVALUE(_xlfn.CONCAT("20",RIGHT(Allocations!F50,2))),[1]Inflation!A:A,0))/100,0)</f>
        <v>1439589</v>
      </c>
      <c r="K50" s="11">
        <f>ROUND(INDEX([1]Estimates!C:C,MATCH(Allocations!B50,[1]Estimates!A:A,0))*INDEX([1]Inflation!C:C,MATCH(_xlfn.NUMBERVALUE(_xlfn.CONCAT("20",RIGHT(Allocations!G50,2))),[1]Inflation!A:A,0))/100,0)</f>
        <v>2361056</v>
      </c>
      <c r="L50" s="11">
        <f>ROUND(INDEX([1]Estimates!D:D,MATCH(Allocations!B50,[1]Estimates!A:A,0))*INDEX([1]Inflation!C:C,MATCH(_xlfn.NUMBERVALUE(_xlfn.CONCAT("20",RIGHT(Allocations!H50,2))),[1]Inflation!A:A,0))/100,0)</f>
        <v>10535305</v>
      </c>
      <c r="M50" s="11">
        <f t="shared" ref="M50:M66" si="4">SUM(J50:L50)</f>
        <v>14335950</v>
      </c>
      <c r="N50" s="11">
        <f t="shared" si="0"/>
        <v>2018899</v>
      </c>
      <c r="O50" s="11">
        <v>2018899</v>
      </c>
      <c r="P50" s="11">
        <v>0</v>
      </c>
      <c r="Q50" s="11"/>
      <c r="R50" s="11"/>
      <c r="S50" s="11"/>
      <c r="T50" s="11"/>
      <c r="U50" s="11">
        <f t="shared" si="1"/>
        <v>0</v>
      </c>
      <c r="V50" s="11"/>
      <c r="W50" s="11"/>
      <c r="X50" s="11">
        <v>1781746</v>
      </c>
      <c r="Y50" s="11">
        <v>1729404</v>
      </c>
      <c r="Z50" s="11">
        <v>2000405</v>
      </c>
      <c r="AA50" s="11"/>
      <c r="AB50" s="11"/>
      <c r="AC50" s="12">
        <f t="shared" si="2"/>
        <v>5511555</v>
      </c>
      <c r="AD50" s="4">
        <f t="shared" si="3"/>
        <v>6805496</v>
      </c>
      <c r="AE50" s="13"/>
    </row>
    <row r="51" spans="1:31" x14ac:dyDescent="0.45">
      <c r="A51" s="1" t="s">
        <v>153</v>
      </c>
      <c r="B51" s="1" t="s">
        <v>154</v>
      </c>
      <c r="C51" s="1" t="s">
        <v>42</v>
      </c>
      <c r="D51" s="20"/>
      <c r="E51" s="9"/>
      <c r="F51" s="5" t="s">
        <v>23</v>
      </c>
      <c r="G51" s="5" t="s">
        <v>24</v>
      </c>
      <c r="H51" s="5" t="s">
        <v>25</v>
      </c>
      <c r="I51" s="5" t="s">
        <v>27</v>
      </c>
      <c r="J51" s="11">
        <f>ROUND(INDEX([1]Estimates!B:B,MATCH(Allocations!B51,[1]Estimates!A:A,0))*INDEX([1]Inflation!C:C,MATCH(_xlfn.NUMBERVALUE(_xlfn.CONCAT("20",RIGHT(Allocations!F51,2))),[1]Inflation!A:A,0))/100,0)</f>
        <v>2591553</v>
      </c>
      <c r="K51" s="11">
        <f>ROUND(INDEX([1]Estimates!C:C,MATCH(Allocations!B51,[1]Estimates!A:A,0))*INDEX([1]Inflation!C:C,MATCH(_xlfn.NUMBERVALUE(_xlfn.CONCAT("20",RIGHT(Allocations!G51,2))),[1]Inflation!A:A,0))/100,0)</f>
        <v>1856542</v>
      </c>
      <c r="L51" s="11">
        <f>ROUND(INDEX([1]Estimates!D:D,MATCH(Allocations!B51,[1]Estimates!A:A,0))*INDEX([1]Inflation!C:C,MATCH(_xlfn.NUMBERVALUE(_xlfn.CONCAT("20",RIGHT(Allocations!H51,2))),[1]Inflation!A:A,0))/100,0)</f>
        <v>16152339</v>
      </c>
      <c r="M51" s="11">
        <f t="shared" si="4"/>
        <v>20600434</v>
      </c>
      <c r="N51" s="11">
        <f t="shared" si="0"/>
        <v>0</v>
      </c>
      <c r="O51" s="11">
        <v>0</v>
      </c>
      <c r="P51" s="11">
        <v>0</v>
      </c>
      <c r="Q51" s="11"/>
      <c r="R51" s="11"/>
      <c r="S51" s="11">
        <v>6167826</v>
      </c>
      <c r="T51" s="11">
        <v>1332174</v>
      </c>
      <c r="U51" s="11">
        <f t="shared" si="1"/>
        <v>7500000</v>
      </c>
      <c r="V51" s="11"/>
      <c r="W51" s="11"/>
      <c r="X51" s="11"/>
      <c r="Y51" s="11"/>
      <c r="Z51" s="11"/>
      <c r="AA51" s="11"/>
      <c r="AB51" s="11"/>
      <c r="AC51" s="12">
        <f t="shared" si="2"/>
        <v>7500000</v>
      </c>
      <c r="AD51" s="4">
        <f t="shared" si="3"/>
        <v>13100434</v>
      </c>
      <c r="AE51" s="13"/>
    </row>
    <row r="52" spans="1:31" x14ac:dyDescent="0.45">
      <c r="A52" s="1" t="s">
        <v>155</v>
      </c>
      <c r="B52" s="1" t="s">
        <v>156</v>
      </c>
      <c r="C52" s="1" t="s">
        <v>42</v>
      </c>
      <c r="D52" s="20"/>
      <c r="E52" s="9"/>
      <c r="F52" s="5" t="s">
        <v>23</v>
      </c>
      <c r="G52" s="5" t="s">
        <v>27</v>
      </c>
      <c r="H52" s="5" t="s">
        <v>43</v>
      </c>
      <c r="I52" s="5" t="s">
        <v>109</v>
      </c>
      <c r="J52" s="11">
        <f>ROUND(INDEX([1]Estimates!B:B,MATCH(Allocations!B52,[1]Estimates!A:A,0))*INDEX([1]Inflation!C:C,MATCH(_xlfn.NUMBERVALUE(_xlfn.CONCAT("20",RIGHT(Allocations!F52,2))),[1]Inflation!A:A,0))/100,0)</f>
        <v>2289716</v>
      </c>
      <c r="K52" s="11">
        <f>ROUND(INDEX([1]Estimates!C:C,MATCH(Allocations!B52,[1]Estimates!A:A,0))*INDEX([1]Inflation!C:C,MATCH(_xlfn.NUMBERVALUE(_xlfn.CONCAT("20",RIGHT(Allocations!G52,2))),[1]Inflation!A:A,0))/100,0)</f>
        <v>7009393</v>
      </c>
      <c r="L52" s="11">
        <f>ROUND(INDEX([1]Estimates!D:D,MATCH(Allocations!B52,[1]Estimates!A:A,0))*INDEX([1]Inflation!C:C,MATCH(_xlfn.NUMBERVALUE(_xlfn.CONCAT("20",RIGHT(Allocations!H52,2))),[1]Inflation!A:A,0))/100,0)</f>
        <v>15913502</v>
      </c>
      <c r="M52" s="11">
        <f t="shared" si="4"/>
        <v>25212611</v>
      </c>
      <c r="N52" s="11">
        <f t="shared" si="0"/>
        <v>0</v>
      </c>
      <c r="O52" s="11">
        <v>0</v>
      </c>
      <c r="P52" s="11">
        <v>0</v>
      </c>
      <c r="Q52" s="11"/>
      <c r="R52" s="11"/>
      <c r="S52" s="11"/>
      <c r="T52" s="11">
        <v>2878344</v>
      </c>
      <c r="U52" s="11">
        <f t="shared" si="1"/>
        <v>2878344</v>
      </c>
      <c r="V52" s="11">
        <v>119138</v>
      </c>
      <c r="W52" s="11"/>
      <c r="X52" s="11"/>
      <c r="Z52" s="11">
        <v>1885564</v>
      </c>
      <c r="AA52" s="11">
        <v>1803961</v>
      </c>
      <c r="AB52" s="11">
        <v>1803994</v>
      </c>
      <c r="AC52" s="12">
        <f t="shared" si="2"/>
        <v>8491001</v>
      </c>
      <c r="AD52" s="4">
        <f t="shared" si="3"/>
        <v>16721610</v>
      </c>
      <c r="AE52" s="13"/>
    </row>
    <row r="53" spans="1:31" x14ac:dyDescent="0.45">
      <c r="A53" s="1" t="s">
        <v>157</v>
      </c>
      <c r="B53" s="1" t="s">
        <v>158</v>
      </c>
      <c r="C53" s="1" t="s">
        <v>42</v>
      </c>
      <c r="D53" s="20"/>
      <c r="E53" s="9"/>
      <c r="F53" s="5" t="s">
        <v>23</v>
      </c>
      <c r="G53" s="5" t="s">
        <v>26</v>
      </c>
      <c r="H53" s="5" t="s">
        <v>28</v>
      </c>
      <c r="I53" s="5" t="s">
        <v>43</v>
      </c>
      <c r="J53" s="11">
        <f>ROUND(INDEX([1]Estimates!B:B,MATCH(Allocations!B53,[1]Estimates!A:A,0))*INDEX([1]Inflation!C:C,MATCH(_xlfn.NUMBERVALUE(_xlfn.CONCAT("20",RIGHT(Allocations!F53,2))),[1]Inflation!A:A,0))/100,0)</f>
        <v>2878344</v>
      </c>
      <c r="K53" s="11">
        <f>ROUND(INDEX([1]Estimates!C:C,MATCH(Allocations!B53,[1]Estimates!A:A,0))*INDEX([1]Inflation!C:C,MATCH(_xlfn.NUMBERVALUE(_xlfn.CONCAT("20",RIGHT(Allocations!G53,2))),[1]Inflation!A:A,0))/100,0)</f>
        <v>2798114</v>
      </c>
      <c r="L53" s="11">
        <f>ROUND(INDEX([1]Estimates!D:D,MATCH(Allocations!B53,[1]Estimates!A:A,0))*INDEX([1]Inflation!C:C,MATCH(_xlfn.NUMBERVALUE(_xlfn.CONCAT("20",RIGHT(Allocations!H53,2))),[1]Inflation!A:A,0))/100,0)</f>
        <v>25152601</v>
      </c>
      <c r="M53" s="11">
        <f t="shared" si="4"/>
        <v>30829059</v>
      </c>
      <c r="N53" s="11">
        <f t="shared" si="0"/>
        <v>0</v>
      </c>
      <c r="O53" s="11">
        <v>0</v>
      </c>
      <c r="P53" s="11">
        <v>0</v>
      </c>
      <c r="Q53" s="11"/>
      <c r="R53" s="11"/>
      <c r="S53" s="11">
        <v>7500000</v>
      </c>
      <c r="T53" s="11"/>
      <c r="U53" s="11">
        <f t="shared" si="1"/>
        <v>7500000</v>
      </c>
      <c r="V53" s="11"/>
      <c r="W53" s="11"/>
      <c r="X53" s="11"/>
      <c r="Y53" s="11"/>
      <c r="Z53" s="11"/>
      <c r="AA53" s="11"/>
      <c r="AB53" s="11"/>
      <c r="AC53" s="12">
        <f t="shared" si="2"/>
        <v>7500000</v>
      </c>
      <c r="AD53" s="4">
        <f t="shared" si="3"/>
        <v>23329059</v>
      </c>
      <c r="AE53" s="13"/>
    </row>
    <row r="54" spans="1:31" x14ac:dyDescent="0.45">
      <c r="A54" s="1" t="s">
        <v>159</v>
      </c>
      <c r="B54" s="1" t="s">
        <v>160</v>
      </c>
      <c r="C54" s="1" t="s">
        <v>42</v>
      </c>
      <c r="D54" s="20">
        <v>118155</v>
      </c>
      <c r="E54" s="9"/>
      <c r="F54" s="5" t="s">
        <v>20</v>
      </c>
      <c r="G54" s="5" t="s">
        <v>24</v>
      </c>
      <c r="H54" s="5" t="s">
        <v>26</v>
      </c>
      <c r="I54" s="5" t="s">
        <v>27</v>
      </c>
      <c r="J54" s="11">
        <f>ROUND(INDEX([1]Estimates!B:B,MATCH(Allocations!B54,[1]Estimates!A:A,0))*INDEX([1]Inflation!C:C,MATCH(_xlfn.NUMBERVALUE(_xlfn.CONCAT("20",RIGHT(Allocations!F54,2))),[1]Inflation!A:A,0))/100,0)</f>
        <v>1400490</v>
      </c>
      <c r="K54" s="11">
        <f>ROUND(INDEX([1]Estimates!C:C,MATCH(Allocations!B54,[1]Estimates!A:A,0))*INDEX([1]Inflation!C:C,MATCH(_xlfn.NUMBERVALUE(_xlfn.CONCAT("20",RIGHT(Allocations!G54,2))),[1]Inflation!A:A,0))/100,0)</f>
        <v>3758717</v>
      </c>
      <c r="L54" s="11">
        <f>ROUND(INDEX([1]Estimates!D:D,MATCH(Allocations!B54,[1]Estimates!A:A,0))*INDEX([1]Inflation!C:C,MATCH(_xlfn.NUMBERVALUE(_xlfn.CONCAT("20",RIGHT(Allocations!H54,2))),[1]Inflation!A:A,0))/100,0)</f>
        <v>8707564</v>
      </c>
      <c r="M54" s="11">
        <f t="shared" si="4"/>
        <v>13866771</v>
      </c>
      <c r="N54" s="11">
        <f t="shared" si="0"/>
        <v>689000</v>
      </c>
      <c r="O54" s="11">
        <v>689000</v>
      </c>
      <c r="P54" s="11">
        <v>0</v>
      </c>
      <c r="Q54" s="11"/>
      <c r="R54" s="11"/>
      <c r="S54" s="11"/>
      <c r="T54" s="11">
        <v>3000000</v>
      </c>
      <c r="U54" s="11">
        <f t="shared" si="1"/>
        <v>3000000</v>
      </c>
      <c r="V54" s="11"/>
      <c r="W54" s="11"/>
      <c r="X54" s="11"/>
      <c r="Y54" s="11"/>
      <c r="Z54" s="11"/>
      <c r="AA54" s="11"/>
      <c r="AB54" s="11"/>
      <c r="AC54" s="12">
        <f t="shared" si="2"/>
        <v>3000000</v>
      </c>
      <c r="AD54" s="4">
        <f t="shared" si="3"/>
        <v>10177771</v>
      </c>
      <c r="AE54" s="13"/>
    </row>
    <row r="55" spans="1:31" x14ac:dyDescent="0.45">
      <c r="A55" s="1" t="s">
        <v>161</v>
      </c>
      <c r="B55" s="1" t="s">
        <v>162</v>
      </c>
      <c r="C55" s="1" t="s">
        <v>42</v>
      </c>
      <c r="D55" s="15"/>
      <c r="E55" s="9"/>
      <c r="F55" s="5" t="s">
        <v>20</v>
      </c>
      <c r="G55" s="5" t="s">
        <v>23</v>
      </c>
      <c r="H55" s="5" t="s">
        <v>24</v>
      </c>
      <c r="I55" s="5" t="s">
        <v>25</v>
      </c>
      <c r="J55" s="11">
        <f>ROUND(INDEX([1]Estimates!B:B,MATCH(Allocations!B55,[1]Estimates!A:A,0))*INDEX([1]Inflation!C:C,MATCH(_xlfn.NUMBERVALUE(_xlfn.CONCAT("20",RIGHT(Allocations!F55,2))),[1]Inflation!A:A,0))/100,0)</f>
        <v>3300435</v>
      </c>
      <c r="K55" s="11">
        <f>ROUND(INDEX([1]Estimates!C:C,MATCH(Allocations!B55,[1]Estimates!A:A,0))*INDEX([1]Inflation!C:C,MATCH(_xlfn.NUMBERVALUE(_xlfn.CONCAT("20",RIGHT(Allocations!G55,2))),[1]Inflation!A:A,0))/100,0)</f>
        <v>3325592</v>
      </c>
      <c r="L55" s="11">
        <f>ROUND(INDEX([1]Estimates!D:D,MATCH(Allocations!B55,[1]Estimates!A:A,0))*INDEX([1]Inflation!C:C,MATCH(_xlfn.NUMBERVALUE(_xlfn.CONCAT("20",RIGHT(Allocations!H55,2))),[1]Inflation!A:A,0))/100,0)</f>
        <v>31431710</v>
      </c>
      <c r="M55" s="11">
        <f t="shared" si="4"/>
        <v>38057737</v>
      </c>
      <c r="N55" s="11">
        <f t="shared" si="0"/>
        <v>2500000</v>
      </c>
      <c r="O55" s="11">
        <v>0</v>
      </c>
      <c r="P55" s="11">
        <v>2500000</v>
      </c>
      <c r="Q55" s="11"/>
      <c r="R55" s="11"/>
      <c r="S55" s="11"/>
      <c r="T55" s="11">
        <f>J55-N55</f>
        <v>800435</v>
      </c>
      <c r="U55" s="11">
        <f t="shared" si="1"/>
        <v>800435</v>
      </c>
      <c r="V55" s="11">
        <v>4393738</v>
      </c>
      <c r="W55" s="11"/>
      <c r="X55" s="11">
        <v>15625417</v>
      </c>
      <c r="Y55" s="11">
        <v>32526</v>
      </c>
      <c r="Z55" s="11"/>
      <c r="AA55" s="11"/>
      <c r="AB55" s="11"/>
      <c r="AC55" s="12">
        <f t="shared" si="2"/>
        <v>20852116</v>
      </c>
      <c r="AD55" s="4">
        <f t="shared" si="3"/>
        <v>14705621</v>
      </c>
      <c r="AE55" s="13"/>
    </row>
    <row r="56" spans="1:31" x14ac:dyDescent="0.45">
      <c r="A56" s="1" t="s">
        <v>163</v>
      </c>
      <c r="B56" s="1" t="s">
        <v>164</v>
      </c>
      <c r="C56" s="1" t="s">
        <v>42</v>
      </c>
      <c r="D56" s="15"/>
      <c r="E56" s="9"/>
      <c r="F56" s="5" t="s">
        <v>23</v>
      </c>
      <c r="G56" s="5" t="s">
        <v>24</v>
      </c>
      <c r="H56" s="5" t="s">
        <v>24</v>
      </c>
      <c r="I56" s="5" t="s">
        <v>27</v>
      </c>
      <c r="J56" s="11">
        <f>ROUND(INDEX([1]Estimates!B:B,MATCH(Allocations!B56,[1]Estimates!A:A,0))*INDEX([1]Inflation!C:C,MATCH(_xlfn.NUMBERVALUE(_xlfn.CONCAT("20",RIGHT(Allocations!F56,2))),[1]Inflation!A:A,0))/100,0)</f>
        <v>7414116</v>
      </c>
      <c r="K56" s="11">
        <f>ROUND(INDEX([1]Estimates!C:C,MATCH(Allocations!B56,[1]Estimates!A:A,0))*INDEX([1]Inflation!C:C,MATCH(_xlfn.NUMBERVALUE(_xlfn.CONCAT("20",RIGHT(Allocations!G56,2))),[1]Inflation!A:A,0))/100,0)</f>
        <v>2160082</v>
      </c>
      <c r="L56" s="11">
        <f>ROUND(INDEX([1]Estimates!D:D,MATCH(Allocations!B56,[1]Estimates!A:A,0))*INDEX([1]Inflation!C:C,MATCH(_xlfn.NUMBERVALUE(_xlfn.CONCAT("20",RIGHT(Allocations!H56,2))),[1]Inflation!A:A,0))/100,0)</f>
        <v>90023247</v>
      </c>
      <c r="M56" s="11">
        <f t="shared" si="4"/>
        <v>99597445</v>
      </c>
      <c r="N56" s="11">
        <f t="shared" si="0"/>
        <v>12000000</v>
      </c>
      <c r="O56" s="11">
        <v>0</v>
      </c>
      <c r="P56" s="11">
        <v>12000000</v>
      </c>
      <c r="Q56" s="11"/>
      <c r="R56" s="11"/>
      <c r="S56" s="11"/>
      <c r="T56" s="11"/>
      <c r="U56" s="11">
        <f t="shared" si="1"/>
        <v>0</v>
      </c>
      <c r="V56" s="11">
        <v>3500000</v>
      </c>
      <c r="W56" s="11">
        <v>271619</v>
      </c>
      <c r="X56" s="11">
        <f>J56-W56-V56</f>
        <v>3642497</v>
      </c>
      <c r="Y56" s="11">
        <v>3700000</v>
      </c>
      <c r="Z56" s="11">
        <v>5000000</v>
      </c>
      <c r="AA56" s="11">
        <v>2191034</v>
      </c>
      <c r="AB56" s="11"/>
      <c r="AC56" s="12">
        <f t="shared" si="2"/>
        <v>18305150</v>
      </c>
      <c r="AD56" s="4">
        <f t="shared" si="3"/>
        <v>69292295</v>
      </c>
      <c r="AE56" s="13"/>
    </row>
    <row r="57" spans="1:31" x14ac:dyDescent="0.45">
      <c r="A57" s="1" t="s">
        <v>165</v>
      </c>
      <c r="B57" s="1" t="s">
        <v>166</v>
      </c>
      <c r="C57" s="1" t="s">
        <v>42</v>
      </c>
      <c r="D57" s="15"/>
      <c r="E57" s="9"/>
      <c r="F57" s="5" t="s">
        <v>17</v>
      </c>
      <c r="G57" s="5" t="s">
        <v>23</v>
      </c>
      <c r="H57" s="5" t="s">
        <v>25</v>
      </c>
      <c r="I57" s="5" t="s">
        <v>27</v>
      </c>
      <c r="J57" s="11">
        <f>ROUND(INDEX([1]Estimates!B:B,MATCH(Allocations!B57,[1]Estimates!A:A,0))*INDEX([1]Inflation!C:C,MATCH(_xlfn.NUMBERVALUE(_xlfn.CONCAT("20",RIGHT(Allocations!F57,2))),[1]Inflation!A:A,0))/100,0)</f>
        <v>10115937</v>
      </c>
      <c r="K57" s="11">
        <f>ROUND(INDEX([1]Estimates!C:C,MATCH(Allocations!B57,[1]Estimates!A:A,0))*INDEX([1]Inflation!C:C,MATCH(_xlfn.NUMBERVALUE(_xlfn.CONCAT("20",RIGHT(Allocations!G57,2))),[1]Inflation!A:A,0))/100,0)</f>
        <v>18781978</v>
      </c>
      <c r="L57" s="11">
        <f>ROUND(INDEX([1]Estimates!D:D,MATCH(Allocations!B57,[1]Estimates!A:A,0))*INDEX([1]Inflation!C:C,MATCH(_xlfn.NUMBERVALUE(_xlfn.CONCAT("20",RIGHT(Allocations!H57,2))),[1]Inflation!A:A,0))/100,0)</f>
        <v>201502458</v>
      </c>
      <c r="M57" s="11">
        <f t="shared" si="4"/>
        <v>230400373</v>
      </c>
      <c r="N57" s="11">
        <f t="shared" si="0"/>
        <v>170000000</v>
      </c>
      <c r="O57" s="11">
        <v>0</v>
      </c>
      <c r="P57" s="11">
        <v>170000000</v>
      </c>
      <c r="Q57" s="11"/>
      <c r="R57" s="11"/>
      <c r="S57" s="11"/>
      <c r="T57" s="11"/>
      <c r="U57" s="11">
        <f t="shared" si="1"/>
        <v>0</v>
      </c>
      <c r="V57" s="11"/>
      <c r="W57" s="11"/>
      <c r="X57" s="11"/>
      <c r="Y57" s="11">
        <v>3704277</v>
      </c>
      <c r="Z57" s="11">
        <v>13795723</v>
      </c>
      <c r="AA57" s="11">
        <v>9750000</v>
      </c>
      <c r="AB57" s="11"/>
      <c r="AC57" s="12">
        <f t="shared" si="2"/>
        <v>27250000</v>
      </c>
      <c r="AD57" s="4">
        <f t="shared" si="3"/>
        <v>33150373</v>
      </c>
      <c r="AE57" s="13"/>
    </row>
    <row r="58" spans="1:31" x14ac:dyDescent="0.45">
      <c r="A58" s="1" t="s">
        <v>167</v>
      </c>
      <c r="B58" s="1" t="s">
        <v>168</v>
      </c>
      <c r="C58" s="1" t="s">
        <v>42</v>
      </c>
      <c r="D58" s="15"/>
      <c r="E58" s="9"/>
      <c r="F58" s="5" t="s">
        <v>25</v>
      </c>
      <c r="G58" s="5" t="s">
        <v>27</v>
      </c>
      <c r="H58" s="5" t="s">
        <v>43</v>
      </c>
      <c r="I58" s="5" t="s">
        <v>110</v>
      </c>
      <c r="J58" s="11">
        <f>ROUND(INDEX([1]Estimates!B:B,MATCH(Allocations!B58,[1]Estimates!A:A,0))*INDEX([1]Inflation!C:C,MATCH(_xlfn.NUMBERVALUE(_xlfn.CONCAT("20",RIGHT(Allocations!F58,2))),[1]Inflation!A:A,0))/100,0)</f>
        <v>1295723</v>
      </c>
      <c r="K58" s="11">
        <f>ROUND(INDEX([1]Estimates!C:C,MATCH(Allocations!B58,[1]Estimates!A:A,0))*INDEX([1]Inflation!C:C,MATCH(_xlfn.NUMBERVALUE(_xlfn.CONCAT("20",RIGHT(Allocations!G58,2))),[1]Inflation!A:A,0))/100,0)</f>
        <v>2271470</v>
      </c>
      <c r="L58" s="11">
        <f>ROUND(INDEX([1]Estimates!D:D,MATCH(Allocations!B58,[1]Estimates!A:A,0))*INDEX([1]Inflation!C:C,MATCH(_xlfn.NUMBERVALUE(_xlfn.CONCAT("20",RIGHT(Allocations!H58,2))),[1]Inflation!A:A,0))/100,0)</f>
        <v>11059618</v>
      </c>
      <c r="M58" s="11">
        <f t="shared" si="4"/>
        <v>14626811</v>
      </c>
      <c r="N58" s="11">
        <v>0</v>
      </c>
      <c r="O58" s="11">
        <v>0</v>
      </c>
      <c r="P58" s="11">
        <v>0</v>
      </c>
      <c r="Q58" s="11"/>
      <c r="R58" s="11"/>
      <c r="S58" s="11"/>
      <c r="T58" s="11"/>
      <c r="U58" s="11">
        <f t="shared" si="1"/>
        <v>0</v>
      </c>
      <c r="V58" s="11"/>
      <c r="W58" s="11"/>
      <c r="X58" s="11"/>
      <c r="Y58" s="11">
        <v>1295723</v>
      </c>
      <c r="Z58" s="11"/>
      <c r="AA58" s="11">
        <v>2000000</v>
      </c>
      <c r="AB58" s="11">
        <v>6704277</v>
      </c>
      <c r="AC58" s="12">
        <f t="shared" si="2"/>
        <v>10000000</v>
      </c>
      <c r="AD58" s="4">
        <f t="shared" si="3"/>
        <v>4626811</v>
      </c>
      <c r="AE58" s="13"/>
    </row>
    <row r="59" spans="1:31" x14ac:dyDescent="0.45">
      <c r="A59" s="1" t="s">
        <v>169</v>
      </c>
      <c r="B59" s="1" t="s">
        <v>170</v>
      </c>
      <c r="C59" s="1" t="s">
        <v>42</v>
      </c>
      <c r="D59" s="15"/>
      <c r="E59" s="9"/>
      <c r="F59" s="5" t="s">
        <v>23</v>
      </c>
      <c r="G59" s="5" t="s">
        <v>25</v>
      </c>
      <c r="H59" s="5" t="s">
        <v>27</v>
      </c>
      <c r="I59" s="5" t="s">
        <v>43</v>
      </c>
      <c r="J59" s="11">
        <f>ROUND(INDEX([1]Estimates!B:B,MATCH(Allocations!B59,[1]Estimates!A:A,0))*INDEX([1]Inflation!C:C,MATCH(_xlfn.NUMBERVALUE(_xlfn.CONCAT("20",RIGHT(Allocations!F59,2))),[1]Inflation!A:A,0))/100,0)</f>
        <v>27543758</v>
      </c>
      <c r="K59" s="11">
        <f>ROUND(INDEX([1]Estimates!C:C,MATCH(Allocations!B59,[1]Estimates!A:A,0))*INDEX([1]Inflation!C:C,MATCH(_xlfn.NUMBERVALUE(_xlfn.CONCAT("20",RIGHT(Allocations!G59,2))),[1]Inflation!A:A,0))/100,0)</f>
        <v>7990503</v>
      </c>
      <c r="L59" s="11">
        <f>ROUND(INDEX([1]Estimates!D:D,MATCH(Allocations!B59,[1]Estimates!A:A,0))*INDEX([1]Inflation!C:C,MATCH(_xlfn.NUMBERVALUE(_xlfn.CONCAT("20",RIGHT(Allocations!H59,2))),[1]Inflation!A:A,0))/100,0)</f>
        <v>325756193</v>
      </c>
      <c r="M59" s="11">
        <f t="shared" si="4"/>
        <v>361290454</v>
      </c>
      <c r="N59" s="11">
        <f t="shared" si="0"/>
        <v>0</v>
      </c>
      <c r="O59" s="11">
        <v>0</v>
      </c>
      <c r="P59" s="11">
        <v>0</v>
      </c>
      <c r="Q59" s="11"/>
      <c r="R59" s="11"/>
      <c r="S59" s="11"/>
      <c r="T59" s="11"/>
      <c r="U59" s="11">
        <f t="shared" si="1"/>
        <v>0</v>
      </c>
      <c r="V59" s="11">
        <v>10000000</v>
      </c>
      <c r="W59" s="11"/>
      <c r="X59" s="11">
        <v>10000000</v>
      </c>
      <c r="Y59" s="11"/>
      <c r="Z59" s="11">
        <v>7500000</v>
      </c>
      <c r="AA59" s="11">
        <v>5250000</v>
      </c>
      <c r="AB59" s="11">
        <v>27250000</v>
      </c>
      <c r="AC59" s="12">
        <f t="shared" si="2"/>
        <v>60000000</v>
      </c>
      <c r="AD59" s="4">
        <f t="shared" si="3"/>
        <v>301290454</v>
      </c>
      <c r="AE59" s="13"/>
    </row>
    <row r="60" spans="1:31" x14ac:dyDescent="0.45">
      <c r="A60" s="1" t="s">
        <v>171</v>
      </c>
      <c r="B60" s="1" t="s">
        <v>172</v>
      </c>
      <c r="C60" s="1" t="s">
        <v>42</v>
      </c>
      <c r="D60" s="15"/>
      <c r="E60" s="9"/>
      <c r="F60" s="5" t="s">
        <v>22</v>
      </c>
      <c r="G60" s="5"/>
      <c r="H60" s="5"/>
      <c r="I60" s="5"/>
      <c r="J60" s="11">
        <v>4000000</v>
      </c>
      <c r="K60" s="11">
        <v>0</v>
      </c>
      <c r="L60" s="11">
        <v>0</v>
      </c>
      <c r="M60" s="11">
        <f t="shared" si="4"/>
        <v>4000000</v>
      </c>
      <c r="N60" s="11">
        <f t="shared" si="0"/>
        <v>0</v>
      </c>
      <c r="O60" s="11">
        <v>0</v>
      </c>
      <c r="P60" s="11">
        <v>0</v>
      </c>
      <c r="Q60" s="11"/>
      <c r="R60" s="11"/>
      <c r="S60" s="11">
        <v>4000000</v>
      </c>
      <c r="T60" s="11"/>
      <c r="U60" s="11">
        <f t="shared" si="1"/>
        <v>4000000</v>
      </c>
      <c r="V60" s="11"/>
      <c r="W60" s="11"/>
      <c r="X60" s="11"/>
      <c r="Y60" s="11"/>
      <c r="Z60" s="11"/>
      <c r="AA60" s="11"/>
      <c r="AB60" s="11"/>
      <c r="AC60" s="12">
        <f t="shared" si="2"/>
        <v>4000000</v>
      </c>
      <c r="AD60" s="4">
        <f t="shared" si="3"/>
        <v>0</v>
      </c>
      <c r="AE60" s="13"/>
    </row>
    <row r="61" spans="1:31" x14ac:dyDescent="0.45">
      <c r="A61" s="1" t="s">
        <v>173</v>
      </c>
      <c r="B61" s="1" t="s">
        <v>174</v>
      </c>
      <c r="C61" s="1" t="s">
        <v>34</v>
      </c>
      <c r="D61" s="15"/>
      <c r="E61" s="9"/>
      <c r="F61" s="5" t="s">
        <v>23</v>
      </c>
      <c r="G61" s="5" t="s">
        <v>25</v>
      </c>
      <c r="H61" s="5" t="s">
        <v>26</v>
      </c>
      <c r="I61" s="5" t="s">
        <v>26</v>
      </c>
      <c r="J61" s="11">
        <f>ROUND(INDEX([1]Estimates!B:B,MATCH(Allocations!B61,[1]Estimates!A:A,0))*INDEX([1]Inflation!C:C,MATCH(_xlfn.NUMBERVALUE(_xlfn.CONCAT("20",RIGHT(Allocations!F61,2))),[1]Inflation!A:A,0))/100,0)</f>
        <v>981798</v>
      </c>
      <c r="K61" s="11">
        <f>ROUND(INDEX([1]Estimates!C:C,MATCH(Allocations!B61,[1]Estimates!A:A,0))*INDEX([1]Inflation!C:C,MATCH(_xlfn.NUMBERVALUE(_xlfn.CONCAT("20",RIGHT(Allocations!G61,2))),[1]Inflation!A:A,0))/100,0)</f>
        <v>899956</v>
      </c>
      <c r="L61" s="11">
        <f>ROUND(INDEX([1]Estimates!D:D,MATCH(Allocations!B61,[1]Estimates!A:A,0))*INDEX([1]Inflation!C:C,MATCH(_xlfn.NUMBERVALUE(_xlfn.CONCAT("20",RIGHT(Allocations!H61,2))),[1]Inflation!A:A,0))/100,0)</f>
        <v>3847280</v>
      </c>
      <c r="M61" s="11">
        <f t="shared" si="4"/>
        <v>5729034</v>
      </c>
      <c r="N61" s="11">
        <f t="shared" si="0"/>
        <v>50000</v>
      </c>
      <c r="O61" s="11">
        <v>0</v>
      </c>
      <c r="P61" s="11">
        <v>50000</v>
      </c>
      <c r="Q61" s="11"/>
      <c r="R61" s="11"/>
      <c r="S61" s="11"/>
      <c r="T61" s="11">
        <v>2180340</v>
      </c>
      <c r="U61" s="11">
        <f t="shared" si="1"/>
        <v>2180340</v>
      </c>
      <c r="V61" s="11"/>
      <c r="W61" s="11"/>
      <c r="X61" s="11"/>
      <c r="Y61" s="11"/>
      <c r="Z61" s="11"/>
      <c r="AA61" s="11"/>
      <c r="AB61" s="11"/>
      <c r="AC61" s="12">
        <f t="shared" si="2"/>
        <v>2180340</v>
      </c>
      <c r="AD61" s="4">
        <f t="shared" si="3"/>
        <v>3498694</v>
      </c>
      <c r="AE61" s="13"/>
    </row>
    <row r="62" spans="1:31" x14ac:dyDescent="0.45">
      <c r="A62" s="1" t="s">
        <v>175</v>
      </c>
      <c r="B62" s="1" t="s">
        <v>176</v>
      </c>
      <c r="C62" s="1" t="s">
        <v>34</v>
      </c>
      <c r="D62" s="15"/>
      <c r="E62" s="9"/>
      <c r="F62" s="5" t="s">
        <v>23</v>
      </c>
      <c r="G62" s="5" t="s">
        <v>27</v>
      </c>
      <c r="H62" s="5" t="s">
        <v>28</v>
      </c>
      <c r="I62" s="5" t="s">
        <v>109</v>
      </c>
      <c r="J62" s="11">
        <f>ROUND(INDEX([1]Estimates!B:B,MATCH(Allocations!B62,[1]Estimates!A:A,0))*INDEX([1]Inflation!C:C,MATCH(_xlfn.NUMBERVALUE(_xlfn.CONCAT("20",RIGHT(Allocations!F62,2))),[1]Inflation!A:A,0))/100,0)</f>
        <v>1576447</v>
      </c>
      <c r="K62" s="11">
        <f>ROUND(INDEX([1]Estimates!C:C,MATCH(Allocations!B62,[1]Estimates!A:A,0))*INDEX([1]Inflation!C:C,MATCH(_xlfn.NUMBERVALUE(_xlfn.CONCAT("20",RIGHT(Allocations!G62,2))),[1]Inflation!A:A,0))/100,0)</f>
        <v>6150244</v>
      </c>
      <c r="L62" s="11">
        <f>ROUND(INDEX([1]Estimates!D:D,MATCH(Allocations!B62,[1]Estimates!A:A,0))*INDEX([1]Inflation!C:C,MATCH(_xlfn.NUMBERVALUE(_xlfn.CONCAT("20",RIGHT(Allocations!H62,2))),[1]Inflation!A:A,0))/100,0)</f>
        <v>9962726</v>
      </c>
      <c r="M62" s="11">
        <f t="shared" si="4"/>
        <v>17689417</v>
      </c>
      <c r="N62" s="11">
        <f t="shared" si="0"/>
        <v>0</v>
      </c>
      <c r="O62" s="11">
        <v>0</v>
      </c>
      <c r="P62" s="11">
        <v>0</v>
      </c>
      <c r="Q62" s="11"/>
      <c r="R62" s="11"/>
      <c r="S62" s="11"/>
      <c r="T62" s="11">
        <v>3042116</v>
      </c>
      <c r="U62" s="11">
        <f t="shared" si="1"/>
        <v>3042116</v>
      </c>
      <c r="V62" s="11">
        <v>1957884</v>
      </c>
      <c r="W62" s="11"/>
      <c r="X62" s="11"/>
      <c r="Y62" s="11"/>
      <c r="Z62" s="11"/>
      <c r="AA62" s="11"/>
      <c r="AB62" s="11"/>
      <c r="AC62" s="12">
        <f t="shared" si="2"/>
        <v>5000000</v>
      </c>
      <c r="AD62" s="4">
        <f t="shared" si="3"/>
        <v>12689417</v>
      </c>
      <c r="AE62" s="13"/>
    </row>
    <row r="63" spans="1:31" x14ac:dyDescent="0.45">
      <c r="A63" s="1" t="s">
        <v>177</v>
      </c>
      <c r="B63" s="1" t="s">
        <v>178</v>
      </c>
      <c r="C63" s="1" t="s">
        <v>42</v>
      </c>
      <c r="D63" s="15"/>
      <c r="E63" s="9"/>
      <c r="F63" s="5" t="s">
        <v>22</v>
      </c>
      <c r="G63" s="5"/>
      <c r="H63" s="5"/>
      <c r="I63" s="5"/>
      <c r="J63" s="11">
        <f>ROUND(INDEX([1]Estimates!B:B,MATCH(Allocations!B63,[1]Estimates!A:A,0))*INDEX([1]Inflation!C:C,MATCH(_xlfn.NUMBERVALUE(_xlfn.CONCAT("20",RIGHT(Allocations!F63,2))),[1]Inflation!A:A,0))/100,0)</f>
        <v>750750</v>
      </c>
      <c r="K63" s="11">
        <v>0</v>
      </c>
      <c r="L63" s="11">
        <v>0</v>
      </c>
      <c r="M63" s="11">
        <f t="shared" si="4"/>
        <v>750750</v>
      </c>
      <c r="N63" s="11">
        <f t="shared" si="0"/>
        <v>0</v>
      </c>
      <c r="O63" s="11">
        <v>0</v>
      </c>
      <c r="P63" s="11">
        <v>0</v>
      </c>
      <c r="Q63" s="11">
        <v>234000</v>
      </c>
      <c r="R63" s="11"/>
      <c r="S63" s="11">
        <v>466000</v>
      </c>
      <c r="T63" s="11"/>
      <c r="U63" s="11">
        <f t="shared" si="1"/>
        <v>700000</v>
      </c>
      <c r="V63" s="11"/>
      <c r="W63" s="11"/>
      <c r="X63" s="11"/>
      <c r="Y63" s="11"/>
      <c r="Z63" s="11"/>
      <c r="AA63" s="11"/>
      <c r="AB63" s="11"/>
      <c r="AC63" s="12">
        <f t="shared" si="2"/>
        <v>700000</v>
      </c>
      <c r="AD63" s="4">
        <f t="shared" si="3"/>
        <v>50750</v>
      </c>
      <c r="AE63" s="13"/>
    </row>
    <row r="64" spans="1:31" x14ac:dyDescent="0.45">
      <c r="A64" s="1" t="s">
        <v>179</v>
      </c>
      <c r="B64" s="1" t="s">
        <v>180</v>
      </c>
      <c r="C64" s="1" t="s">
        <v>42</v>
      </c>
      <c r="D64" s="15"/>
      <c r="E64" s="9"/>
      <c r="F64" s="5" t="s">
        <v>22</v>
      </c>
      <c r="G64" s="5" t="s">
        <v>24</v>
      </c>
      <c r="H64" s="5" t="s">
        <v>26</v>
      </c>
      <c r="I64" s="5" t="s">
        <v>28</v>
      </c>
      <c r="J64" s="11">
        <f>ROUND(INDEX([1]Estimates!B:B,MATCH(Allocations!B64,[1]Estimates!A:A,0))*INDEX([1]Inflation!C:C,MATCH(_xlfn.NUMBERVALUE(_xlfn.CONCAT("20",RIGHT(Allocations!F64,2))),[1]Inflation!A:A,0))/100,0)</f>
        <v>13928922</v>
      </c>
      <c r="K64" s="11">
        <f>ROUND(INDEX([1]Estimates!C:C,MATCH(Allocations!B64,[1]Estimates!A:A,0))*INDEX([1]Inflation!C:C,MATCH(_xlfn.NUMBERVALUE(_xlfn.CONCAT("20",RIGHT(Allocations!G64,2))),[1]Inflation!A:A,0))/100,0)</f>
        <v>1973708</v>
      </c>
      <c r="L64" s="11">
        <f>ROUND(INDEX([1]Estimates!D:D,MATCH(Allocations!B64,[1]Estimates!A:A,0))*INDEX([1]Inflation!C:C,MATCH(_xlfn.NUMBERVALUE(_xlfn.CONCAT("20",RIGHT(Allocations!H64,2))),[1]Inflation!A:A,0))/100,0)</f>
        <v>127608025</v>
      </c>
      <c r="M64" s="11">
        <f t="shared" si="4"/>
        <v>143510655</v>
      </c>
      <c r="N64" s="11">
        <f t="shared" si="0"/>
        <v>0</v>
      </c>
      <c r="O64" s="11">
        <v>0</v>
      </c>
      <c r="P64" s="11">
        <v>0</v>
      </c>
      <c r="Q64" s="11"/>
      <c r="R64" s="11"/>
      <c r="S64" s="11"/>
      <c r="T64" s="11"/>
      <c r="U64" s="11">
        <f t="shared" si="1"/>
        <v>0</v>
      </c>
      <c r="V64" s="11"/>
      <c r="W64" s="11"/>
      <c r="X64" s="11"/>
      <c r="Y64" s="11"/>
      <c r="Z64" s="11"/>
      <c r="AA64" s="11"/>
      <c r="AB64" s="11">
        <v>8000000</v>
      </c>
      <c r="AC64" s="12">
        <f t="shared" si="2"/>
        <v>8000000</v>
      </c>
      <c r="AD64" s="4">
        <f t="shared" si="3"/>
        <v>135510655</v>
      </c>
      <c r="AE64" s="13"/>
    </row>
    <row r="65" spans="1:31" x14ac:dyDescent="0.45">
      <c r="A65" s="1" t="s">
        <v>181</v>
      </c>
      <c r="B65" s="1" t="s">
        <v>182</v>
      </c>
      <c r="C65" s="1" t="s">
        <v>42</v>
      </c>
      <c r="D65" s="15"/>
      <c r="E65" s="9"/>
      <c r="F65" s="5" t="s">
        <v>20</v>
      </c>
      <c r="G65" s="5" t="s">
        <v>20</v>
      </c>
      <c r="H65" s="5" t="s">
        <v>24</v>
      </c>
      <c r="I65" s="5" t="s">
        <v>25</v>
      </c>
      <c r="J65" s="11">
        <f>ROUND(INDEX([1]Estimates!B:B,MATCH(Allocations!B65,[1]Estimates!A:A,0))*INDEX([1]Inflation!C:C,MATCH(_xlfn.NUMBERVALUE(_xlfn.CONCAT("20",RIGHT(Allocations!F65,2))),[1]Inflation!A:A,0))/100,0)</f>
        <v>4578140</v>
      </c>
      <c r="K65" s="11">
        <f>ROUND(INDEX([1]Estimates!C:C,MATCH(Allocations!B65,[1]Estimates!A:A,0))*INDEX([1]Inflation!C:C,MATCH(_xlfn.NUMBERVALUE(_xlfn.CONCAT("20",RIGHT(Allocations!G65,2))),[1]Inflation!A:A,0))/100,0)</f>
        <v>9060000</v>
      </c>
      <c r="L65" s="11">
        <f>ROUND(INDEX([1]Estimates!D:D,MATCH(Allocations!B65,[1]Estimates!A:A,0))*INDEX([1]Inflation!C:C,MATCH(_xlfn.NUMBERVALUE(_xlfn.CONCAT("20",RIGHT(Allocations!H65,2))),[1]Inflation!A:A,0))/100,0)</f>
        <v>52996549</v>
      </c>
      <c r="M65" s="11">
        <f t="shared" si="4"/>
        <v>66634689</v>
      </c>
      <c r="N65" s="11">
        <f t="shared" si="0"/>
        <v>0</v>
      </c>
      <c r="O65" s="11">
        <v>0</v>
      </c>
      <c r="P65" s="11">
        <v>0</v>
      </c>
      <c r="Q65" s="11"/>
      <c r="R65" s="11"/>
      <c r="S65" s="11">
        <v>7000000</v>
      </c>
      <c r="T65" s="11"/>
      <c r="U65" s="11">
        <f t="shared" si="1"/>
        <v>7000000</v>
      </c>
      <c r="V65" s="11"/>
      <c r="W65" s="11"/>
      <c r="X65" s="11"/>
      <c r="Y65" s="11"/>
      <c r="Z65" s="11"/>
      <c r="AA65" s="11"/>
      <c r="AB65" s="11"/>
      <c r="AC65" s="12">
        <f t="shared" si="2"/>
        <v>7000000</v>
      </c>
      <c r="AD65" s="4">
        <f t="shared" si="3"/>
        <v>59634689</v>
      </c>
      <c r="AE65" s="13"/>
    </row>
    <row r="66" spans="1:31" x14ac:dyDescent="0.45">
      <c r="A66" s="1" t="s">
        <v>183</v>
      </c>
      <c r="B66" s="1" t="s">
        <v>184</v>
      </c>
      <c r="C66" s="1" t="s">
        <v>42</v>
      </c>
      <c r="D66" s="15"/>
      <c r="E66" s="9"/>
      <c r="F66" s="5" t="s">
        <v>23</v>
      </c>
      <c r="G66" s="5" t="s">
        <v>24</v>
      </c>
      <c r="H66" s="5" t="s">
        <v>26</v>
      </c>
      <c r="I66" s="5" t="s">
        <v>28</v>
      </c>
      <c r="J66" s="11">
        <f>ROUND(INDEX([1]Estimates!B:B,MATCH(Allocations!B66,[1]Estimates!A:A,0))*INDEX([1]Inflation!C:C,MATCH(_xlfn.NUMBERVALUE(_xlfn.CONCAT("20",RIGHT(Allocations!F66,2))),[1]Inflation!A:A,0))/100,0)</f>
        <v>2976750</v>
      </c>
      <c r="K66" s="11">
        <f>ROUND(INDEX([1]Estimates!C:C,MATCH(Allocations!B66,[1]Estimates!A:A,0))*INDEX([1]Inflation!C:C,MATCH(_xlfn.NUMBERVALUE(_xlfn.CONCAT("20",RIGHT(Allocations!G66,2))),[1]Inflation!A:A,0))/100,0)</f>
        <v>3125520</v>
      </c>
      <c r="L66" s="11">
        <f>ROUND(INDEX([1]Estimates!D:D,MATCH(Allocations!B66,[1]Estimates!A:A,0))*INDEX([1]Inflation!C:C,MATCH(_xlfn.NUMBERVALUE(_xlfn.CONCAT("20",RIGHT(Allocations!H66,2))),[1]Inflation!A:A,0))/100,0)</f>
        <v>34460100</v>
      </c>
      <c r="M66" s="11">
        <f t="shared" si="4"/>
        <v>40562370</v>
      </c>
      <c r="N66" s="11">
        <f t="shared" si="0"/>
        <v>0</v>
      </c>
      <c r="O66" s="11">
        <v>0</v>
      </c>
      <c r="P66" s="11">
        <v>0</v>
      </c>
      <c r="Q66" s="11"/>
      <c r="R66" s="11"/>
      <c r="S66" s="11"/>
      <c r="T66" s="11"/>
      <c r="U66" s="11">
        <f t="shared" si="1"/>
        <v>0</v>
      </c>
      <c r="V66" s="11"/>
      <c r="W66" s="11"/>
      <c r="X66" s="11">
        <v>10849</v>
      </c>
      <c r="Y66" s="11">
        <v>6489151</v>
      </c>
      <c r="Z66" s="11"/>
      <c r="AA66" s="11"/>
      <c r="AB66" s="11"/>
      <c r="AC66" s="12">
        <f t="shared" si="2"/>
        <v>6500000</v>
      </c>
      <c r="AD66" s="4">
        <f t="shared" si="3"/>
        <v>34062370</v>
      </c>
      <c r="AE66" s="13"/>
    </row>
    <row r="67" spans="1:31" x14ac:dyDescent="0.45">
      <c r="A67" s="21" t="s">
        <v>185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3"/>
      <c r="M67" s="4">
        <f t="shared" ref="M67:AB67" si="5">SUM(M3:M66)</f>
        <v>2748738440</v>
      </c>
      <c r="N67" s="4">
        <f t="shared" si="5"/>
        <v>962210122</v>
      </c>
      <c r="O67" s="4">
        <f t="shared" si="5"/>
        <v>768409551</v>
      </c>
      <c r="P67" s="4">
        <f t="shared" si="5"/>
        <v>193800571</v>
      </c>
      <c r="Q67" s="4">
        <f t="shared" si="5"/>
        <v>47736311</v>
      </c>
      <c r="R67" s="4">
        <f t="shared" si="5"/>
        <v>71982846</v>
      </c>
      <c r="S67" s="4">
        <f t="shared" si="5"/>
        <v>77280000</v>
      </c>
      <c r="T67" s="4">
        <f t="shared" si="5"/>
        <v>71860000</v>
      </c>
      <c r="U67" s="4">
        <f t="shared" si="5"/>
        <v>268859157</v>
      </c>
      <c r="V67" s="4">
        <f t="shared" si="5"/>
        <v>67572000</v>
      </c>
      <c r="W67" s="4">
        <f t="shared" si="5"/>
        <v>68756500</v>
      </c>
      <c r="X67" s="4">
        <f t="shared" si="5"/>
        <v>67088000</v>
      </c>
      <c r="Y67" s="4">
        <f t="shared" si="5"/>
        <v>65100000</v>
      </c>
      <c r="Z67" s="4">
        <f t="shared" si="5"/>
        <v>62769000</v>
      </c>
      <c r="AA67" s="4">
        <f t="shared" si="5"/>
        <v>59813000</v>
      </c>
      <c r="AB67" s="4">
        <f t="shared" si="5"/>
        <v>60411000</v>
      </c>
      <c r="AC67" s="12">
        <f>SUM(U67:AB67)</f>
        <v>720368657</v>
      </c>
      <c r="AD67" s="4"/>
      <c r="AE67" s="1"/>
    </row>
    <row r="69" spans="1:31" x14ac:dyDescent="0.45">
      <c r="B69" s="24" t="s">
        <v>186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>
        <v>47736311</v>
      </c>
      <c r="R69" s="25">
        <v>71982846</v>
      </c>
      <c r="S69" s="25">
        <v>77280000</v>
      </c>
      <c r="T69" s="26">
        <v>71860000</v>
      </c>
      <c r="U69" s="27">
        <f>SUM(Q69:T69)</f>
        <v>268859157</v>
      </c>
      <c r="V69" s="26">
        <v>73150000</v>
      </c>
      <c r="W69" s="26">
        <v>76790000</v>
      </c>
      <c r="X69" s="26">
        <v>79560000</v>
      </c>
      <c r="Y69" s="26">
        <v>82290000</v>
      </c>
      <c r="Z69" s="26">
        <v>84910000</v>
      </c>
      <c r="AA69" s="26">
        <v>87050000</v>
      </c>
      <c r="AB69" s="26">
        <f>ROUND(AA69*1.01,-3)</f>
        <v>87921000</v>
      </c>
      <c r="AC69" s="12">
        <f>SUM(U69:AB69)</f>
        <v>840530157</v>
      </c>
    </row>
    <row r="70" spans="1:31" x14ac:dyDescent="0.45">
      <c r="B70" s="24" t="s">
        <v>187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7">
        <f>Q67</f>
        <v>47736311</v>
      </c>
      <c r="R70" s="27">
        <f t="shared" ref="R70:T70" si="6">R67</f>
        <v>71982846</v>
      </c>
      <c r="S70" s="27">
        <f t="shared" si="6"/>
        <v>77280000</v>
      </c>
      <c r="T70" s="27">
        <f t="shared" si="6"/>
        <v>71860000</v>
      </c>
      <c r="U70" s="27">
        <f>SUM(Q70:T70)</f>
        <v>268859157</v>
      </c>
      <c r="V70" s="27">
        <f>V67</f>
        <v>67572000</v>
      </c>
      <c r="W70" s="27">
        <f t="shared" ref="W70:AB70" si="7">W67</f>
        <v>68756500</v>
      </c>
      <c r="X70" s="27">
        <f t="shared" si="7"/>
        <v>67088000</v>
      </c>
      <c r="Y70" s="27">
        <f t="shared" si="7"/>
        <v>65100000</v>
      </c>
      <c r="Z70" s="27">
        <f>Z67</f>
        <v>62769000</v>
      </c>
      <c r="AA70" s="27">
        <f t="shared" si="7"/>
        <v>59813000</v>
      </c>
      <c r="AB70" s="27">
        <f t="shared" si="7"/>
        <v>60411000</v>
      </c>
      <c r="AC70" s="12">
        <f t="shared" si="2"/>
        <v>720368657</v>
      </c>
    </row>
    <row r="71" spans="1:31" x14ac:dyDescent="0.45">
      <c r="B71" s="24" t="s">
        <v>188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6">
        <v>0</v>
      </c>
      <c r="R71" s="26">
        <v>0</v>
      </c>
      <c r="S71" s="26">
        <v>0</v>
      </c>
      <c r="T71" s="26">
        <v>0</v>
      </c>
      <c r="U71" s="26">
        <f>SUM(Q71:T71)</f>
        <v>0</v>
      </c>
      <c r="V71" s="28">
        <v>5578000</v>
      </c>
      <c r="W71" s="28">
        <v>8033500</v>
      </c>
      <c r="X71" s="28">
        <f>X69-X70</f>
        <v>12472000</v>
      </c>
      <c r="Y71" s="28">
        <f t="shared" ref="Y71:AA71" si="8">Y69-Y70</f>
        <v>17190000</v>
      </c>
      <c r="Z71" s="28">
        <f t="shared" si="8"/>
        <v>22141000</v>
      </c>
      <c r="AA71" s="28">
        <f t="shared" si="8"/>
        <v>27237000</v>
      </c>
      <c r="AB71" s="28">
        <f>AB69-AB70</f>
        <v>27510000</v>
      </c>
      <c r="AC71" s="12">
        <f>SUM(U71:AB71)</f>
        <v>120161500</v>
      </c>
    </row>
    <row r="72" spans="1:31" x14ac:dyDescent="0.45">
      <c r="B72" s="24" t="s">
        <v>189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6">
        <f>Q69-Q70-Q71</f>
        <v>0</v>
      </c>
      <c r="R72" s="26">
        <f>R69-R70-R71</f>
        <v>0</v>
      </c>
      <c r="S72" s="26">
        <f>S69-S70-S71</f>
        <v>0</v>
      </c>
      <c r="T72" s="26">
        <f>T69-T70-T71</f>
        <v>0</v>
      </c>
      <c r="U72" s="26">
        <f>SUM(Q72:T72)</f>
        <v>0</v>
      </c>
      <c r="V72" s="26">
        <f t="shared" ref="V72:AB72" si="9">V69-V70-V71</f>
        <v>0</v>
      </c>
      <c r="W72" s="26">
        <f t="shared" si="9"/>
        <v>0</v>
      </c>
      <c r="X72" s="26">
        <f t="shared" si="9"/>
        <v>0</v>
      </c>
      <c r="Y72" s="26">
        <f t="shared" si="9"/>
        <v>0</v>
      </c>
      <c r="Z72" s="26">
        <f t="shared" si="9"/>
        <v>0</v>
      </c>
      <c r="AA72" s="26">
        <f t="shared" si="9"/>
        <v>0</v>
      </c>
      <c r="AB72" s="26">
        <f t="shared" si="9"/>
        <v>0</v>
      </c>
      <c r="AC72" s="12">
        <f>SUM(U72:AB72)</f>
        <v>0</v>
      </c>
      <c r="AD72" s="29"/>
    </row>
    <row r="73" spans="1:31" x14ac:dyDescent="0.45">
      <c r="U73" t="s">
        <v>190</v>
      </c>
      <c r="V73" s="30">
        <f>V71/V69</f>
        <v>7.6254272043745727E-2</v>
      </c>
      <c r="W73" s="30">
        <f t="shared" ref="W73:AB73" si="10">W71/W69</f>
        <v>0.10461648652168251</v>
      </c>
      <c r="X73" s="30">
        <f t="shared" si="10"/>
        <v>0.1567621920563097</v>
      </c>
      <c r="Y73" s="30">
        <f t="shared" si="10"/>
        <v>0.20889537003281078</v>
      </c>
      <c r="Z73" s="30">
        <f t="shared" si="10"/>
        <v>0.26075845012366033</v>
      </c>
      <c r="AA73" s="30">
        <f t="shared" si="10"/>
        <v>0.31288914417001723</v>
      </c>
      <c r="AB73" s="30">
        <f t="shared" si="10"/>
        <v>0.31289453031698911</v>
      </c>
    </row>
    <row r="74" spans="1:31" x14ac:dyDescent="0.45">
      <c r="A74" s="31"/>
      <c r="B74" s="32"/>
      <c r="U74" t="s">
        <v>191</v>
      </c>
      <c r="V74" s="30">
        <v>0.1</v>
      </c>
      <c r="W74" s="30">
        <v>0.15</v>
      </c>
      <c r="X74" s="30">
        <v>0.2</v>
      </c>
      <c r="Y74" s="30">
        <v>0.25</v>
      </c>
      <c r="Z74" s="30">
        <v>0.3</v>
      </c>
      <c r="AA74" s="30">
        <v>0.35</v>
      </c>
      <c r="AB74" s="30">
        <v>0.35</v>
      </c>
    </row>
    <row r="75" spans="1:31" x14ac:dyDescent="0.45">
      <c r="U75" t="s">
        <v>192</v>
      </c>
      <c r="V75" s="29">
        <f>V71</f>
        <v>5578000</v>
      </c>
      <c r="W75" s="33">
        <f>W71-(W69*0.1)</f>
        <v>354500</v>
      </c>
      <c r="X75" s="33">
        <f>X71-(X69*0.15)</f>
        <v>538000</v>
      </c>
      <c r="Y75" s="33">
        <f>Y71-(Y69*0.2)</f>
        <v>732000</v>
      </c>
      <c r="Z75" s="33">
        <f>Z71-(Z69*0.25)</f>
        <v>913500</v>
      </c>
      <c r="AA75" s="33">
        <f>AA71-(AA69*0.3)</f>
        <v>1122000</v>
      </c>
      <c r="AB75" s="33">
        <f>AB71-(AB69*0.35)</f>
        <v>-3262349.9999999963</v>
      </c>
      <c r="AC75" s="29">
        <f>SUM(V75:AB75)</f>
        <v>5975650.0000000037</v>
      </c>
    </row>
    <row r="77" spans="1:31" x14ac:dyDescent="0.45">
      <c r="W77" s="34" t="s">
        <v>193</v>
      </c>
    </row>
  </sheetData>
  <mergeCells count="6">
    <mergeCell ref="B1:T1"/>
    <mergeCell ref="A67:L67"/>
    <mergeCell ref="B69:P69"/>
    <mergeCell ref="B70:P70"/>
    <mergeCell ref="B71:P71"/>
    <mergeCell ref="B72:P72"/>
  </mergeCells>
  <conditionalFormatting sqref="A3:AE3 O4:T41 V4:AB41 AC4:AE46 A4:N66 U4:U66 O42:R42 X42:AB42 V43:AB50 O43:T66 AE47:AE66 AC47:AD67 V51:X52 Z51:AB52 V53:AB66">
    <cfRule type="expression" dxfId="3" priority="3">
      <formula>$AG3=TRUE</formula>
    </cfRule>
  </conditionalFormatting>
  <conditionalFormatting sqref="B74">
    <cfRule type="expression" dxfId="2" priority="1">
      <formula>$AG74=TRUE</formula>
    </cfRule>
  </conditionalFormatting>
  <conditionalFormatting sqref="Y51">
    <cfRule type="expression" dxfId="1" priority="4">
      <formula>$AG52=TRUE</formula>
    </cfRule>
  </conditionalFormatting>
  <conditionalFormatting sqref="AC69:AC72">
    <cfRule type="expression" dxfId="0" priority="2">
      <formula>$AG69=TRUE</formula>
    </cfRule>
  </conditionalFormatting>
  <printOptions horizontalCentered="1"/>
  <pageMargins left="0.7" right="0.7" top="0.75" bottom="0.75" header="0.3" footer="0.3"/>
  <pageSetup paperSize="3" scale="60" fitToHeight="0" orientation="landscape" horizontalDpi="1200" verticalDpi="1200" r:id="rId1"/>
  <headerFooter>
    <oddHeader>&amp;L&amp;14&amp;KFF0000&amp;G&amp;RCVTA ALLOCATIONS (FY25 - FY31)</oddHeader>
    <oddFooter>&amp;LApproved by CVTA - February 23, 2024&amp;RPage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CE1CEB14A8842B2B3654F897A3025" ma:contentTypeVersion="21" ma:contentTypeDescription="Create a new document." ma:contentTypeScope="" ma:versionID="1b3c2c8558f94497c7de9c44a47074b0">
  <xsd:schema xmlns:xsd="http://www.w3.org/2001/XMLSchema" xmlns:xs="http://www.w3.org/2001/XMLSchema" xmlns:p="http://schemas.microsoft.com/office/2006/metadata/properties" xmlns:ns2="9eb5fd3a-a868-4ce8-a544-a6e395f01995" xmlns:ns3="7aa1fbd3-d9a2-452f-a32a-eb16614a5d55" targetNamespace="http://schemas.microsoft.com/office/2006/metadata/properties" ma:root="true" ma:fieldsID="bf772ad3139a22a947ae605ac06c0732" ns2:_="" ns3:_="">
    <xsd:import namespace="9eb5fd3a-a868-4ce8-a544-a6e395f01995"/>
    <xsd:import namespace="7aa1fbd3-d9a2-452f-a32a-eb16614a5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0d433197db34f7dad5f55b031021b3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5fd3a-a868-4ce8-a544-a6e395f019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2df052e-86c4-4c02-be65-70b8acf69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0d433197db34f7dad5f55b031021b32" ma:index="27" nillable="true" ma:taxonomy="true" ma:internalName="l0d433197db34f7dad5f55b031021b32" ma:taxonomyFieldName="File_x0020_Tags" ma:displayName="File Tags" ma:readOnly="false" ma:default="" ma:fieldId="{50d43319-7db3-4f7d-ad5f-55b031021b32}" ma:taxonomyMulti="true" ma:sspId="e2df052e-86c4-4c02-be65-70b8acf69b1c" ma:termSetId="2a0f4b85-7aaf-4503-93ba-e7cd348615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fbd3-d9a2-452f-a32a-eb16614a5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b250fe9-318b-41fa-9c2d-fb37949e11ac}" ma:internalName="TaxCatchAll" ma:showField="CatchAllData" ma:web="7aa1fbd3-d9a2-452f-a32a-eb16614a5d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a1fbd3-d9a2-452f-a32a-eb16614a5d55" xsi:nil="true"/>
    <l0d433197db34f7dad5f55b031021b32 xmlns="9eb5fd3a-a868-4ce8-a544-a6e395f01995">
      <Terms xmlns="http://schemas.microsoft.com/office/infopath/2007/PartnerControls"/>
    </l0d433197db34f7dad5f55b031021b32>
    <lcf76f155ced4ddcb4097134ff3c332f xmlns="9eb5fd3a-a868-4ce8-a544-a6e395f019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371840-AD7A-4720-9DE2-7CACB1071DFB}"/>
</file>

<file path=customXml/itemProps2.xml><?xml version="1.0" encoding="utf-8"?>
<ds:datastoreItem xmlns:ds="http://schemas.openxmlformats.org/officeDocument/2006/customXml" ds:itemID="{E7EAF062-7211-4F58-AB0F-C9B63C098C3A}"/>
</file>

<file path=customXml/itemProps3.xml><?xml version="1.0" encoding="utf-8"?>
<ds:datastoreItem xmlns:ds="http://schemas.openxmlformats.org/officeDocument/2006/customXml" ds:itemID="{26F6061E-CB54-469E-878C-76BAC272F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Allocations</vt:lpstr>
      <vt:lpstr>Allocations!Print_Area</vt:lpstr>
      <vt:lpstr>Allocations!Print_Titles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Parsons</dc:creator>
  <cp:lastModifiedBy>Chet Parsons</cp:lastModifiedBy>
  <cp:lastPrinted>2025-02-03T20:15:17Z</cp:lastPrinted>
  <dcterms:created xsi:type="dcterms:W3CDTF">2025-02-03T20:13:27Z</dcterms:created>
  <dcterms:modified xsi:type="dcterms:W3CDTF">2025-02-03T20:15:27Z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0x010100C24CE1CEB14A8842B2B3654F897A3025</vt:lpwstr>
  </property>
</Properties>
</file>